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ntoval\Documents\03  Materiály do RK a ZK\2022\RK\11. RK\ZÚK_2021\"/>
    </mc:Choice>
  </mc:AlternateContent>
  <xr:revisionPtr revIDLastSave="0" documentId="13_ncr:1_{178FAB26-D45E-45A0-AE68-932CDE3F264A}" xr6:coauthVersionLast="47" xr6:coauthVersionMax="47" xr10:uidLastSave="{00000000-0000-0000-0000-000000000000}"/>
  <bookViews>
    <workbookView xWindow="-120" yWindow="-120" windowWidth="24240" windowHeight="13140" activeTab="9" xr2:uid="{00000000-000D-0000-FFFF-FFFF00000000}"/>
  </bookViews>
  <sheets>
    <sheet name="ZÚK_2021-Seznam příloh" sheetId="45" r:id="rId1"/>
    <sheet name="1-ZÚK_2021" sheetId="122" r:id="rId2"/>
    <sheet name="2-ZÚK_2021" sheetId="125" r:id="rId3"/>
    <sheet name="3-ZÚK_2021" sheetId="82" r:id="rId4"/>
    <sheet name="4-ZÚK_2021" sheetId="149" r:id="rId5"/>
    <sheet name="5-ZÚK_2021" sheetId="102" r:id="rId6"/>
    <sheet name="6-ZÚK_2021" sheetId="124" r:id="rId7"/>
    <sheet name="7-ZÚK_2021" sheetId="136" r:id="rId8"/>
    <sheet name="8-ZÚK_2021" sheetId="79" r:id="rId9"/>
    <sheet name="9-ZÚK_2021" sheetId="118" r:id="rId10"/>
    <sheet name="10-ZÚK_2021" sheetId="152" r:id="rId11"/>
    <sheet name="11-ZÚK_2021" sheetId="108" r:id="rId12"/>
    <sheet name="12-ZÚK_2021" sheetId="109" r:id="rId13"/>
    <sheet name="13-ZÚK_2021" sheetId="110" r:id="rId14"/>
    <sheet name="14-ZÚK_2021" sheetId="150" r:id="rId15"/>
    <sheet name="15-ZÚK_2021" sheetId="151" r:id="rId16"/>
    <sheet name="16-ZÚK_2021" sheetId="113" r:id="rId17"/>
    <sheet name="17-ZÚK_2021" sheetId="114" r:id="rId18"/>
    <sheet name="18-ZÚK_2021" sheetId="143" r:id="rId19"/>
    <sheet name="19-ZÚK_2021" sheetId="142" r:id="rId20"/>
    <sheet name="20-ZÚK_2021" sheetId="148" r:id="rId21"/>
    <sheet name="21-ZÚK_2021" sheetId="145" r:id="rId22"/>
    <sheet name="22-ZÚK_2021" sheetId="141" r:id="rId23"/>
  </sheets>
  <definedNames>
    <definedName name="_xlnm._FilterDatabase" localSheetId="18" hidden="1">'18-ZÚK_2021'!$A$5:$H$96</definedName>
    <definedName name="aaa" localSheetId="10">#REF!</definedName>
    <definedName name="aaa" localSheetId="14">#REF!</definedName>
    <definedName name="aaa" localSheetId="15">#REF!</definedName>
    <definedName name="aaa" localSheetId="4">#REF!</definedName>
    <definedName name="aaa">#REF!</definedName>
    <definedName name="Excel_BuiltIn__FilterDatabase_3" localSheetId="10">#REF!</definedName>
    <definedName name="Excel_BuiltIn__FilterDatabase_3" localSheetId="14">#REF!</definedName>
    <definedName name="Excel_BuiltIn__FilterDatabase_3" localSheetId="15">#REF!</definedName>
    <definedName name="Excel_BuiltIn__FilterDatabase_3" localSheetId="4">#REF!</definedName>
    <definedName name="Excel_BuiltIn__FilterDatabase_3">#REF!</definedName>
    <definedName name="g" localSheetId="10">#REF!</definedName>
    <definedName name="g" localSheetId="14">#REF!</definedName>
    <definedName name="g" localSheetId="15">#REF!</definedName>
    <definedName name="g" localSheetId="4">#REF!</definedName>
    <definedName name="g">#REF!</definedName>
    <definedName name="l" localSheetId="10">#REF!</definedName>
    <definedName name="l" localSheetId="14">#REF!</definedName>
    <definedName name="l" localSheetId="15">#REF!</definedName>
    <definedName name="l" localSheetId="4">#REF!</definedName>
    <definedName name="l">#REF!</definedName>
    <definedName name="o" localSheetId="10">#REF!</definedName>
    <definedName name="o" localSheetId="14">#REF!</definedName>
    <definedName name="o" localSheetId="15">#REF!</definedName>
    <definedName name="o" localSheetId="4">#REF!</definedName>
    <definedName name="o">#REF!</definedName>
    <definedName name="_xlnm.Print_Area" localSheetId="17">'17-ZÚK_2021'!$A$1:$E$33</definedName>
    <definedName name="_xlnm.Print_Area" localSheetId="18">'18-ZÚK_2021'!$A$1:$H$96</definedName>
    <definedName name="_xlnm.Print_Area" localSheetId="1">'1-ZÚK_2021'!$A$1:$G$45</definedName>
    <definedName name="_xlnm.Print_Area" localSheetId="20">'20-ZÚK_2021'!$A$1:$N$21</definedName>
    <definedName name="_xlnm.Print_Area" localSheetId="21">'21-ZÚK_2021'!$A$1:$F$25</definedName>
    <definedName name="_xlnm.Print_Area" localSheetId="22">'22-ZÚK_2021'!$A$1:$C$76</definedName>
    <definedName name="_xlnm.Print_Area" localSheetId="2">'2-ZÚK_2021'!$A$1:$E$112</definedName>
    <definedName name="_xlnm.Print_Area" localSheetId="3">'3-ZÚK_2021'!$A$1:$F$113</definedName>
    <definedName name="_xlnm.Print_Area" localSheetId="4">'4-ZÚK_2021'!$A$1:$H$508</definedName>
    <definedName name="_xlnm.Print_Area" localSheetId="5">'5-ZÚK_2021'!$A$1:$H$92</definedName>
    <definedName name="_xlnm.Print_Area" localSheetId="7">'7-ZÚK_2021'!$A$1:$E$260</definedName>
    <definedName name="p" localSheetId="10">#REF!</definedName>
    <definedName name="p" localSheetId="14">#REF!</definedName>
    <definedName name="p" localSheetId="15">#REF!</definedName>
    <definedName name="p" localSheetId="4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41" l="1"/>
  <c r="F11" i="122" l="1"/>
  <c r="D24" i="145"/>
  <c r="F73" i="102"/>
  <c r="F34" i="102" s="1"/>
  <c r="F40" i="102"/>
  <c r="G34" i="102"/>
  <c r="D9" i="113"/>
  <c r="D11" i="113"/>
  <c r="C11" i="113"/>
  <c r="C9" i="113"/>
  <c r="E105" i="118"/>
  <c r="D135" i="152"/>
  <c r="D134" i="152"/>
  <c r="D126" i="152"/>
  <c r="D125" i="152"/>
  <c r="D124" i="152"/>
  <c r="D122" i="152"/>
  <c r="D121" i="152"/>
  <c r="D120" i="152"/>
  <c r="D119" i="152"/>
  <c r="D118" i="152"/>
  <c r="D127" i="152" s="1"/>
  <c r="D100" i="152"/>
  <c r="D99" i="152"/>
  <c r="D98" i="152"/>
  <c r="D97" i="152"/>
  <c r="D96" i="152"/>
  <c r="D94" i="152"/>
  <c r="D93" i="152"/>
  <c r="D83" i="152"/>
  <c r="D141" i="152" s="1"/>
  <c r="D76" i="152"/>
  <c r="D140" i="152" s="1"/>
  <c r="D70" i="152"/>
  <c r="D139" i="152" s="1"/>
  <c r="D63" i="152"/>
  <c r="D138" i="152" s="1"/>
  <c r="D54" i="152"/>
  <c r="D137" i="152" s="1"/>
  <c r="D43" i="152"/>
  <c r="D136" i="152" s="1"/>
  <c r="D37" i="152"/>
  <c r="D31" i="152"/>
  <c r="D19" i="152"/>
  <c r="D133" i="152" s="1"/>
  <c r="D11" i="152"/>
  <c r="D132" i="152" s="1"/>
  <c r="D142" i="152" s="1"/>
  <c r="D92" i="152" l="1"/>
  <c r="D101" i="152" s="1"/>
  <c r="D37" i="151"/>
  <c r="C43" i="151" s="1"/>
  <c r="C37" i="151"/>
  <c r="B37" i="151"/>
  <c r="E36" i="151"/>
  <c r="E35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B15" i="151"/>
  <c r="E13" i="151"/>
  <c r="C13" i="151"/>
  <c r="E11" i="151"/>
  <c r="E10" i="151"/>
  <c r="C9" i="151"/>
  <c r="D9" i="151" s="1"/>
  <c r="E9" i="151" l="1"/>
  <c r="D15" i="151"/>
  <c r="C15" i="151"/>
  <c r="E37" i="151"/>
  <c r="B43" i="151" l="1"/>
  <c r="D43" i="151"/>
  <c r="E15" i="151"/>
  <c r="F131" i="150" l="1"/>
  <c r="F130" i="150"/>
  <c r="F129" i="150"/>
  <c r="E128" i="150"/>
  <c r="F128" i="150" s="1"/>
  <c r="D128" i="150"/>
  <c r="C128" i="150"/>
  <c r="F127" i="150"/>
  <c r="F125" i="150"/>
  <c r="F124" i="150"/>
  <c r="F123" i="150"/>
  <c r="F122" i="150"/>
  <c r="E121" i="150"/>
  <c r="F121" i="150" s="1"/>
  <c r="D121" i="150"/>
  <c r="C121" i="150"/>
  <c r="F114" i="150"/>
  <c r="F113" i="150"/>
  <c r="F111" i="150"/>
  <c r="F110" i="150"/>
  <c r="F107" i="150"/>
  <c r="F106" i="150"/>
  <c r="F105" i="150"/>
  <c r="F104" i="150"/>
  <c r="E104" i="150"/>
  <c r="D104" i="150"/>
  <c r="C104" i="150"/>
  <c r="F102" i="150"/>
  <c r="F100" i="150"/>
  <c r="F99" i="150"/>
  <c r="E99" i="150"/>
  <c r="D99" i="150"/>
  <c r="C99" i="150"/>
  <c r="F97" i="150"/>
  <c r="E96" i="150"/>
  <c r="F96" i="150" s="1"/>
  <c r="D96" i="150"/>
  <c r="C96" i="150"/>
  <c r="F95" i="150"/>
  <c r="F91" i="150"/>
  <c r="F89" i="150"/>
  <c r="F87" i="150"/>
  <c r="F86" i="150"/>
  <c r="F85" i="150"/>
  <c r="F84" i="150"/>
  <c r="F78" i="150"/>
  <c r="E77" i="150"/>
  <c r="F77" i="150" s="1"/>
  <c r="D77" i="150"/>
  <c r="C77" i="150"/>
  <c r="E75" i="150"/>
  <c r="D75" i="150"/>
  <c r="C75" i="150"/>
  <c r="F74" i="150"/>
  <c r="F73" i="150"/>
  <c r="F72" i="150"/>
  <c r="F71" i="150"/>
  <c r="F70" i="150"/>
  <c r="E69" i="150"/>
  <c r="F69" i="150" s="1"/>
  <c r="D69" i="150"/>
  <c r="C69" i="150"/>
  <c r="F68" i="150"/>
  <c r="F67" i="150"/>
  <c r="F66" i="150"/>
  <c r="F65" i="150"/>
  <c r="E64" i="150"/>
  <c r="E132" i="150" s="1"/>
  <c r="D64" i="150"/>
  <c r="D132" i="150" s="1"/>
  <c r="C64" i="150"/>
  <c r="C132" i="150" s="1"/>
  <c r="D36" i="150"/>
  <c r="E29" i="150"/>
  <c r="F29" i="150" s="1"/>
  <c r="D29" i="150"/>
  <c r="B29" i="150"/>
  <c r="F28" i="150"/>
  <c r="F27" i="150"/>
  <c r="F26" i="150"/>
  <c r="F25" i="150"/>
  <c r="F24" i="150"/>
  <c r="F23" i="150"/>
  <c r="F21" i="150"/>
  <c r="F20" i="150"/>
  <c r="F13" i="150"/>
  <c r="E13" i="150"/>
  <c r="E36" i="150" s="1"/>
  <c r="D13" i="150"/>
  <c r="B13" i="150"/>
  <c r="F11" i="150"/>
  <c r="F10" i="150"/>
  <c r="F9" i="150"/>
  <c r="F132" i="150" l="1"/>
  <c r="F64" i="150"/>
  <c r="B36" i="150"/>
  <c r="F507" i="149" l="1"/>
  <c r="C245" i="136"/>
  <c r="G86" i="102"/>
  <c r="E86" i="102"/>
  <c r="G73" i="102"/>
  <c r="H81" i="102"/>
  <c r="H82" i="102"/>
  <c r="F77" i="102"/>
  <c r="F74" i="102"/>
  <c r="G40" i="102"/>
  <c r="F53" i="102"/>
  <c r="F49" i="102"/>
  <c r="L11" i="148" l="1"/>
  <c r="M11" i="148" s="1"/>
  <c r="N11" i="148" s="1"/>
  <c r="D17" i="148"/>
  <c r="J12" i="148"/>
  <c r="K12" i="148"/>
  <c r="L12" i="148"/>
  <c r="M12" i="148"/>
  <c r="N12" i="148"/>
  <c r="I12" i="148"/>
  <c r="D7" i="148"/>
  <c r="N17" i="148"/>
  <c r="M17" i="148"/>
  <c r="L17" i="148"/>
  <c r="K17" i="148"/>
  <c r="J17" i="148"/>
  <c r="I17" i="148"/>
  <c r="H17" i="148"/>
  <c r="G17" i="148"/>
  <c r="F17" i="148"/>
  <c r="E17" i="148"/>
  <c r="G15" i="148"/>
  <c r="G12" i="148" s="1"/>
  <c r="E15" i="148"/>
  <c r="E12" i="148" s="1"/>
  <c r="H12" i="148"/>
  <c r="F12" i="148"/>
  <c r="D12" i="148"/>
  <c r="E9" i="148"/>
  <c r="F9" i="148" s="1"/>
  <c r="E10" i="148" l="1"/>
  <c r="G9" i="148"/>
  <c r="F10" i="148" l="1"/>
  <c r="E7" i="148"/>
  <c r="H9" i="148"/>
  <c r="C21" i="141"/>
  <c r="G10" i="148" l="1"/>
  <c r="F7" i="148"/>
  <c r="I9" i="148"/>
  <c r="F106" i="108"/>
  <c r="G106" i="108"/>
  <c r="H106" i="108"/>
  <c r="E106" i="108"/>
  <c r="H97" i="108"/>
  <c r="G97" i="108"/>
  <c r="F97" i="108"/>
  <c r="E97" i="108"/>
  <c r="F89" i="108"/>
  <c r="H89" i="108"/>
  <c r="E89" i="108"/>
  <c r="F44" i="108"/>
  <c r="G44" i="108"/>
  <c r="H44" i="108"/>
  <c r="E44" i="108"/>
  <c r="H9" i="109"/>
  <c r="F9" i="109"/>
  <c r="E9" i="109"/>
  <c r="G83" i="108"/>
  <c r="G89" i="108" s="1"/>
  <c r="G118" i="108"/>
  <c r="H118" i="108"/>
  <c r="F118" i="108"/>
  <c r="E118" i="108"/>
  <c r="H10" i="148" l="1"/>
  <c r="G7" i="148"/>
  <c r="J9" i="148"/>
  <c r="G119" i="108"/>
  <c r="F119" i="108"/>
  <c r="I10" i="148" l="1"/>
  <c r="H7" i="148"/>
  <c r="K9" i="148"/>
  <c r="K7" i="148" s="1"/>
  <c r="H125" i="108"/>
  <c r="G125" i="108"/>
  <c r="F125" i="108"/>
  <c r="E125" i="108"/>
  <c r="F93" i="118"/>
  <c r="E93" i="118"/>
  <c r="D93" i="118"/>
  <c r="J10" i="148" l="1"/>
  <c r="J7" i="148" s="1"/>
  <c r="I7" i="148"/>
  <c r="L9" i="148"/>
  <c r="L7" i="148" s="1"/>
  <c r="F126" i="108"/>
  <c r="G126" i="108"/>
  <c r="M9" i="148" l="1"/>
  <c r="M7" i="148" s="1"/>
  <c r="E73" i="118"/>
  <c r="E83" i="118"/>
  <c r="F83" i="118"/>
  <c r="D83" i="118"/>
  <c r="F47" i="118"/>
  <c r="E48" i="118"/>
  <c r="E46" i="118"/>
  <c r="E45" i="118"/>
  <c r="E44" i="118"/>
  <c r="E43" i="118"/>
  <c r="E42" i="118"/>
  <c r="F31" i="118"/>
  <c r="E31" i="118"/>
  <c r="E101" i="118" s="1"/>
  <c r="D31" i="118"/>
  <c r="D101" i="118" s="1"/>
  <c r="E36" i="118"/>
  <c r="E13" i="118"/>
  <c r="N9" i="148" l="1"/>
  <c r="N7" i="148" s="1"/>
  <c r="E49" i="118"/>
  <c r="C20" i="114" l="1"/>
  <c r="B14" i="113"/>
  <c r="C14" i="113"/>
  <c r="C37" i="113"/>
  <c r="E24" i="113" l="1"/>
  <c r="E28" i="113"/>
  <c r="C28" i="113"/>
  <c r="D26" i="113"/>
  <c r="C26" i="113"/>
  <c r="B30" i="113"/>
  <c r="D23" i="113"/>
  <c r="C23" i="113"/>
  <c r="C37" i="110" l="1"/>
  <c r="F17" i="145"/>
  <c r="E17" i="145"/>
  <c r="D17" i="145"/>
  <c r="G36" i="102" l="1"/>
  <c r="F36" i="102"/>
  <c r="F16" i="102"/>
  <c r="F9" i="102" s="1"/>
  <c r="F87" i="102"/>
  <c r="C14" i="141" l="1"/>
  <c r="G30" i="102" l="1"/>
  <c r="F30" i="102"/>
  <c r="G23" i="102"/>
  <c r="G16" i="102"/>
  <c r="F96" i="143" l="1"/>
  <c r="G95" i="143"/>
  <c r="H95" i="143" s="1"/>
  <c r="G94" i="143"/>
  <c r="H94" i="143" s="1"/>
  <c r="G93" i="143"/>
  <c r="H93" i="143" s="1"/>
  <c r="G92" i="143"/>
  <c r="H92" i="143" s="1"/>
  <c r="G91" i="143"/>
  <c r="H91" i="143" s="1"/>
  <c r="H90" i="143"/>
  <c r="H89" i="143"/>
  <c r="G88" i="143"/>
  <c r="H88" i="143" s="1"/>
  <c r="G87" i="143"/>
  <c r="H87" i="143" s="1"/>
  <c r="G86" i="143"/>
  <c r="H86" i="143" s="1"/>
  <c r="G85" i="143"/>
  <c r="H85" i="143" s="1"/>
  <c r="G84" i="143"/>
  <c r="H84" i="143" s="1"/>
  <c r="G83" i="143"/>
  <c r="H83" i="143" s="1"/>
  <c r="G82" i="143"/>
  <c r="H82" i="143" s="1"/>
  <c r="G81" i="143"/>
  <c r="H81" i="143" s="1"/>
  <c r="G80" i="143"/>
  <c r="H80" i="143" s="1"/>
  <c r="G79" i="143"/>
  <c r="H79" i="143" s="1"/>
  <c r="G78" i="143"/>
  <c r="H78" i="143" s="1"/>
  <c r="G77" i="143"/>
  <c r="H77" i="143" s="1"/>
  <c r="G76" i="143"/>
  <c r="H76" i="143" s="1"/>
  <c r="G75" i="143"/>
  <c r="H75" i="143" s="1"/>
  <c r="G74" i="143"/>
  <c r="H74" i="143" s="1"/>
  <c r="G73" i="143"/>
  <c r="H73" i="143" s="1"/>
  <c r="G72" i="143"/>
  <c r="H72" i="143" s="1"/>
  <c r="G71" i="143"/>
  <c r="H71" i="143" s="1"/>
  <c r="G70" i="143"/>
  <c r="H70" i="143" s="1"/>
  <c r="G69" i="143"/>
  <c r="H69" i="143" s="1"/>
  <c r="G68" i="143"/>
  <c r="H68" i="143" s="1"/>
  <c r="G67" i="143"/>
  <c r="H67" i="143" s="1"/>
  <c r="G66" i="143"/>
  <c r="H66" i="143" s="1"/>
  <c r="G65" i="143"/>
  <c r="H65" i="143" s="1"/>
  <c r="G64" i="143"/>
  <c r="H64" i="143" s="1"/>
  <c r="G63" i="143"/>
  <c r="H63" i="143" s="1"/>
  <c r="G62" i="143"/>
  <c r="H62" i="143" s="1"/>
  <c r="G61" i="143"/>
  <c r="H61" i="143" s="1"/>
  <c r="G60" i="143"/>
  <c r="H60" i="143" s="1"/>
  <c r="G59" i="143"/>
  <c r="H59" i="143" s="1"/>
  <c r="G58" i="143"/>
  <c r="H58" i="143" s="1"/>
  <c r="G52" i="143"/>
  <c r="H52" i="143" s="1"/>
  <c r="G51" i="143"/>
  <c r="H51" i="143" s="1"/>
  <c r="G50" i="143"/>
  <c r="H50" i="143" s="1"/>
  <c r="G49" i="143"/>
  <c r="H49" i="143" s="1"/>
  <c r="G48" i="143"/>
  <c r="H48" i="143" s="1"/>
  <c r="G47" i="143"/>
  <c r="H47" i="143" s="1"/>
  <c r="G46" i="143"/>
  <c r="H46" i="143" s="1"/>
  <c r="G45" i="143"/>
  <c r="H45" i="143" s="1"/>
  <c r="G44" i="143"/>
  <c r="H44" i="143" s="1"/>
  <c r="G43" i="143"/>
  <c r="H43" i="143" s="1"/>
  <c r="G42" i="143"/>
  <c r="H42" i="143" s="1"/>
  <c r="G41" i="143"/>
  <c r="H41" i="143" s="1"/>
  <c r="G40" i="143"/>
  <c r="H40" i="143" s="1"/>
  <c r="G39" i="143"/>
  <c r="H39" i="143" s="1"/>
  <c r="H38" i="143"/>
  <c r="G37" i="143"/>
  <c r="H37" i="143" s="1"/>
  <c r="H36" i="143"/>
  <c r="G35" i="143"/>
  <c r="H35" i="143" s="1"/>
  <c r="G34" i="143"/>
  <c r="H34" i="143" s="1"/>
  <c r="G33" i="143"/>
  <c r="H33" i="143" s="1"/>
  <c r="G32" i="143"/>
  <c r="H32" i="143" s="1"/>
  <c r="G31" i="143"/>
  <c r="H31" i="143" s="1"/>
  <c r="H30" i="143"/>
  <c r="G29" i="143"/>
  <c r="H29" i="143" s="1"/>
  <c r="G28" i="143"/>
  <c r="H28" i="143" s="1"/>
  <c r="G27" i="143"/>
  <c r="H27" i="143" s="1"/>
  <c r="G26" i="143"/>
  <c r="H26" i="143" s="1"/>
  <c r="G25" i="143"/>
  <c r="H25" i="143" s="1"/>
  <c r="G24" i="143"/>
  <c r="H24" i="143" s="1"/>
  <c r="G23" i="143"/>
  <c r="H23" i="143" s="1"/>
  <c r="G22" i="143"/>
  <c r="H22" i="143" s="1"/>
  <c r="G21" i="143"/>
  <c r="H21" i="143" s="1"/>
  <c r="G20" i="143"/>
  <c r="H20" i="143" s="1"/>
  <c r="G19" i="143"/>
  <c r="H19" i="143" s="1"/>
  <c r="H18" i="143"/>
  <c r="G17" i="143"/>
  <c r="H17" i="143" s="1"/>
  <c r="G16" i="143"/>
  <c r="H15" i="143"/>
  <c r="H14" i="143"/>
  <c r="H13" i="143"/>
  <c r="H12" i="143"/>
  <c r="H11" i="143"/>
  <c r="H10" i="143"/>
  <c r="H9" i="143"/>
  <c r="H8" i="143"/>
  <c r="H7" i="143"/>
  <c r="H6" i="143"/>
  <c r="O19" i="142"/>
  <c r="N19" i="142"/>
  <c r="M19" i="142"/>
  <c r="L19" i="142"/>
  <c r="K19" i="142"/>
  <c r="J19" i="142"/>
  <c r="E18" i="142"/>
  <c r="G18" i="142" s="1"/>
  <c r="G17" i="142"/>
  <c r="E17" i="142"/>
  <c r="E16" i="142"/>
  <c r="G16" i="142" s="1"/>
  <c r="G15" i="142"/>
  <c r="E15" i="142"/>
  <c r="E14" i="142"/>
  <c r="G14" i="142" s="1"/>
  <c r="G13" i="142"/>
  <c r="E13" i="142"/>
  <c r="E12" i="142"/>
  <c r="G12" i="142" s="1"/>
  <c r="G11" i="142"/>
  <c r="E11" i="142"/>
  <c r="E10" i="142"/>
  <c r="G10" i="142" s="1"/>
  <c r="G9" i="142"/>
  <c r="E9" i="142"/>
  <c r="E8" i="142"/>
  <c r="G8" i="142" s="1"/>
  <c r="G96" i="143" l="1"/>
  <c r="H96" i="143" s="1"/>
  <c r="H16" i="143"/>
  <c r="G19" i="142"/>
  <c r="E19" i="142"/>
  <c r="C69" i="141" l="1"/>
  <c r="C64" i="141"/>
  <c r="C62" i="141"/>
  <c r="C54" i="141"/>
  <c r="C50" i="141"/>
  <c r="C31" i="141"/>
  <c r="C28" i="141" l="1"/>
  <c r="C75" i="141" s="1"/>
  <c r="E112" i="136" l="1"/>
  <c r="D112" i="136"/>
  <c r="D111" i="136"/>
  <c r="E109" i="136"/>
  <c r="D109" i="136"/>
  <c r="D108" i="136"/>
  <c r="D197" i="136" l="1"/>
  <c r="C240" i="136"/>
  <c r="D227" i="136"/>
  <c r="C227" i="136"/>
  <c r="C223" i="136"/>
  <c r="D218" i="136"/>
  <c r="E218" i="136"/>
  <c r="C218" i="136"/>
  <c r="C213" i="136"/>
  <c r="C209" i="136"/>
  <c r="D73" i="136"/>
  <c r="C73" i="136"/>
  <c r="E69" i="136"/>
  <c r="D69" i="136"/>
  <c r="D106" i="136"/>
  <c r="C106" i="136"/>
  <c r="E98" i="136"/>
  <c r="D98" i="136"/>
  <c r="C98" i="136"/>
  <c r="E58" i="136"/>
  <c r="D58" i="136"/>
  <c r="E97" i="136"/>
  <c r="D97" i="136"/>
  <c r="C97" i="136"/>
  <c r="E92" i="136"/>
  <c r="D92" i="136"/>
  <c r="C92" i="136"/>
  <c r="E30" i="136"/>
  <c r="D30" i="136"/>
  <c r="C30" i="136"/>
  <c r="E29" i="136"/>
  <c r="D29" i="136"/>
  <c r="C29" i="136"/>
  <c r="E28" i="136"/>
  <c r="D28" i="136"/>
  <c r="C28" i="136"/>
  <c r="E27" i="136"/>
  <c r="D27" i="136"/>
  <c r="C27" i="136"/>
  <c r="E87" i="136"/>
  <c r="D87" i="136"/>
  <c r="C87" i="136"/>
  <c r="E86" i="136"/>
  <c r="D86" i="136"/>
  <c r="C86" i="136"/>
  <c r="E85" i="136"/>
  <c r="D85" i="136"/>
  <c r="C85" i="136"/>
  <c r="E84" i="136"/>
  <c r="D84" i="136"/>
  <c r="C84" i="136"/>
  <c r="E83" i="136"/>
  <c r="D83" i="136"/>
  <c r="E82" i="136"/>
  <c r="D82" i="136"/>
  <c r="C82" i="136"/>
  <c r="E81" i="136"/>
  <c r="D81" i="136"/>
  <c r="C81" i="136"/>
  <c r="E78" i="136"/>
  <c r="D78" i="136"/>
  <c r="C78" i="136"/>
  <c r="D21" i="136"/>
  <c r="E20" i="136"/>
  <c r="D20" i="136"/>
  <c r="E19" i="136"/>
  <c r="D19" i="136"/>
  <c r="E16" i="136"/>
  <c r="D16" i="136"/>
  <c r="C16" i="136"/>
  <c r="E14" i="136"/>
  <c r="D14" i="136"/>
  <c r="E13" i="136"/>
  <c r="D13" i="136"/>
  <c r="D12" i="136"/>
  <c r="C12" i="136"/>
  <c r="D11" i="136"/>
  <c r="E55" i="136"/>
  <c r="D55" i="136"/>
  <c r="C55" i="136"/>
  <c r="E54" i="136"/>
  <c r="D54" i="136"/>
  <c r="E53" i="136"/>
  <c r="D53" i="136"/>
  <c r="E52" i="136"/>
  <c r="D52" i="136"/>
  <c r="E43" i="136"/>
  <c r="D43" i="136"/>
  <c r="E42" i="136"/>
  <c r="D42" i="136"/>
  <c r="C42" i="136"/>
  <c r="E41" i="136"/>
  <c r="D41" i="136"/>
  <c r="C41" i="136"/>
  <c r="E40" i="136"/>
  <c r="D40" i="136"/>
  <c r="C40" i="136"/>
  <c r="D39" i="136"/>
  <c r="C39" i="136"/>
  <c r="E38" i="136"/>
  <c r="D38" i="136"/>
  <c r="C38" i="136"/>
  <c r="E37" i="136"/>
  <c r="D37" i="136"/>
  <c r="E36" i="136"/>
  <c r="D36" i="136"/>
  <c r="C36" i="136"/>
  <c r="E204" i="136"/>
  <c r="E191" i="136" s="1"/>
  <c r="D204" i="136"/>
  <c r="E211" i="136"/>
  <c r="D211" i="136"/>
  <c r="E102" i="136"/>
  <c r="D102" i="136"/>
  <c r="D101" i="136"/>
  <c r="E100" i="136"/>
  <c r="D100" i="136"/>
  <c r="E99" i="136"/>
  <c r="D99" i="136"/>
  <c r="C99" i="136"/>
  <c r="D33" i="136"/>
  <c r="D32" i="136"/>
  <c r="E31" i="136"/>
  <c r="D31" i="136"/>
  <c r="E96" i="136"/>
  <c r="D96" i="136"/>
  <c r="C96" i="136"/>
  <c r="E94" i="136"/>
  <c r="E95" i="136"/>
  <c r="D95" i="136"/>
  <c r="D94" i="136"/>
  <c r="C94" i="136"/>
  <c r="E125" i="136"/>
  <c r="C125" i="136"/>
  <c r="D125" i="136"/>
  <c r="E124" i="136"/>
  <c r="D124" i="136"/>
  <c r="D196" i="136"/>
  <c r="C196" i="136"/>
  <c r="C191" i="136" s="1"/>
  <c r="D130" i="136"/>
  <c r="C130" i="136"/>
  <c r="E227" i="136"/>
  <c r="E57" i="136"/>
  <c r="D57" i="136"/>
  <c r="C57" i="136"/>
  <c r="D213" i="136"/>
  <c r="E213" i="136"/>
  <c r="C122" i="136" l="1"/>
  <c r="C8" i="136"/>
  <c r="E122" i="136"/>
  <c r="C75" i="136"/>
  <c r="D75" i="136"/>
  <c r="E75" i="136"/>
  <c r="E245" i="136"/>
  <c r="D122" i="136"/>
  <c r="D245" i="136"/>
  <c r="E8" i="136"/>
  <c r="D8" i="136"/>
  <c r="D191" i="136"/>
  <c r="C7" i="136" l="1"/>
  <c r="E98" i="124"/>
  <c r="E93" i="124"/>
  <c r="E83" i="124"/>
  <c r="E71" i="124"/>
  <c r="G52" i="124"/>
  <c r="E52" i="124"/>
  <c r="F52" i="124"/>
  <c r="F45" i="124"/>
  <c r="F28" i="124"/>
  <c r="F20" i="124"/>
  <c r="H18" i="124"/>
  <c r="H19" i="124"/>
  <c r="G93" i="124"/>
  <c r="H91" i="124"/>
  <c r="H90" i="124"/>
  <c r="H61" i="124"/>
  <c r="H49" i="124"/>
  <c r="H48" i="124"/>
  <c r="H47" i="124"/>
  <c r="H46" i="124"/>
  <c r="G45" i="124"/>
  <c r="E45" i="124"/>
  <c r="G28" i="124"/>
  <c r="E28" i="124"/>
  <c r="H43" i="124"/>
  <c r="H44" i="124"/>
  <c r="E13" i="124"/>
  <c r="H45" i="124" l="1"/>
  <c r="H28" i="124"/>
  <c r="F29" i="82" l="1"/>
  <c r="E93" i="125" l="1"/>
  <c r="E72" i="125"/>
  <c r="E82" i="125"/>
  <c r="E51" i="125"/>
  <c r="E46" i="125"/>
  <c r="E15" i="125"/>
  <c r="F20" i="122"/>
  <c r="F10" i="122"/>
  <c r="F43" i="122" s="1"/>
  <c r="F107" i="108" l="1"/>
  <c r="E240" i="136"/>
  <c r="D240" i="136"/>
  <c r="E223" i="136"/>
  <c r="D223" i="136"/>
  <c r="E209" i="136"/>
  <c r="E7" i="136" s="1"/>
  <c r="D209" i="136"/>
  <c r="D7" i="136" l="1"/>
  <c r="D10" i="79"/>
  <c r="C10" i="79"/>
  <c r="B10" i="79"/>
  <c r="G8" i="109" l="1"/>
  <c r="G9" i="109" s="1"/>
  <c r="F8" i="109"/>
  <c r="E8" i="109"/>
  <c r="H78" i="102" l="1"/>
  <c r="H75" i="102"/>
  <c r="H47" i="102"/>
  <c r="H44" i="102"/>
  <c r="E37" i="118"/>
  <c r="E102" i="118" s="1"/>
  <c r="D37" i="118"/>
  <c r="D102" i="118" s="1"/>
  <c r="F37" i="118"/>
  <c r="F102" i="118" s="1"/>
  <c r="D17" i="118"/>
  <c r="E17" i="118"/>
  <c r="E99" i="118" s="1"/>
  <c r="F17" i="118"/>
  <c r="F99" i="118" s="1"/>
  <c r="F93" i="124"/>
  <c r="H95" i="124"/>
  <c r="G81" i="124"/>
  <c r="F81" i="124"/>
  <c r="E81" i="124"/>
  <c r="E23" i="110"/>
  <c r="E10" i="113"/>
  <c r="F86" i="102"/>
  <c r="H89" i="102"/>
  <c r="H87" i="102"/>
  <c r="H40" i="102"/>
  <c r="H32" i="102"/>
  <c r="E19" i="102"/>
  <c r="H25" i="102"/>
  <c r="H27" i="102"/>
  <c r="E9" i="102"/>
  <c r="G9" i="102"/>
  <c r="H16" i="102"/>
  <c r="F113" i="82"/>
  <c r="E69" i="125"/>
  <c r="E29" i="125"/>
  <c r="H75" i="124"/>
  <c r="D23" i="114"/>
  <c r="C30" i="114" s="1"/>
  <c r="C23" i="114"/>
  <c r="B23" i="114"/>
  <c r="E20" i="114"/>
  <c r="E19" i="114"/>
  <c r="D12" i="114"/>
  <c r="B30" i="114" s="1"/>
  <c r="C12" i="114"/>
  <c r="B12" i="114"/>
  <c r="E10" i="114"/>
  <c r="E9" i="114"/>
  <c r="D30" i="113"/>
  <c r="C30" i="113"/>
  <c r="E29" i="113"/>
  <c r="E27" i="113"/>
  <c r="E26" i="113"/>
  <c r="E25" i="113"/>
  <c r="E23" i="113"/>
  <c r="E22" i="113"/>
  <c r="E21" i="113"/>
  <c r="D14" i="113"/>
  <c r="B37" i="113" s="1"/>
  <c r="E9" i="113"/>
  <c r="D30" i="110"/>
  <c r="C30" i="110"/>
  <c r="B30" i="110"/>
  <c r="E29" i="110"/>
  <c r="E27" i="110"/>
  <c r="E26" i="110"/>
  <c r="E25" i="110"/>
  <c r="E24" i="110"/>
  <c r="E22" i="110"/>
  <c r="E21" i="110"/>
  <c r="E20" i="110"/>
  <c r="D13" i="110"/>
  <c r="B37" i="110" s="1"/>
  <c r="C13" i="110"/>
  <c r="B13" i="110"/>
  <c r="E10" i="110"/>
  <c r="E9" i="110"/>
  <c r="H8" i="109"/>
  <c r="H121" i="108"/>
  <c r="G121" i="108"/>
  <c r="F121" i="108"/>
  <c r="E121" i="108"/>
  <c r="H109" i="108"/>
  <c r="G109" i="108"/>
  <c r="F109" i="108"/>
  <c r="E109" i="108"/>
  <c r="E106" i="118"/>
  <c r="D106" i="118"/>
  <c r="D105" i="118"/>
  <c r="E104" i="118"/>
  <c r="D73" i="118"/>
  <c r="D104" i="118" s="1"/>
  <c r="E103" i="118"/>
  <c r="D49" i="118"/>
  <c r="D103" i="118" s="1"/>
  <c r="F24" i="118"/>
  <c r="F100" i="118" s="1"/>
  <c r="E24" i="118"/>
  <c r="E100" i="118" s="1"/>
  <c r="D24" i="118"/>
  <c r="D100" i="118" s="1"/>
  <c r="D99" i="118"/>
  <c r="F8" i="118"/>
  <c r="F98" i="118" s="1"/>
  <c r="E8" i="118"/>
  <c r="E98" i="118" s="1"/>
  <c r="D8" i="118"/>
  <c r="D98" i="118" s="1"/>
  <c r="H113" i="124"/>
  <c r="G112" i="124"/>
  <c r="F112" i="124"/>
  <c r="E112" i="124"/>
  <c r="H111" i="124"/>
  <c r="G110" i="124"/>
  <c r="F110" i="124"/>
  <c r="E110" i="124"/>
  <c r="H109" i="124"/>
  <c r="G108" i="124"/>
  <c r="F108" i="124"/>
  <c r="E108" i="124"/>
  <c r="H107" i="124"/>
  <c r="H106" i="124"/>
  <c r="H105" i="124"/>
  <c r="H104" i="124"/>
  <c r="H103" i="124"/>
  <c r="H102" i="124"/>
  <c r="H100" i="124"/>
  <c r="H99" i="124"/>
  <c r="F98" i="124"/>
  <c r="H97" i="124"/>
  <c r="G96" i="124"/>
  <c r="F96" i="124"/>
  <c r="E96" i="124"/>
  <c r="H94" i="124"/>
  <c r="H92" i="124"/>
  <c r="H89" i="124"/>
  <c r="H88" i="124"/>
  <c r="H87" i="124"/>
  <c r="H86" i="124"/>
  <c r="H85" i="124"/>
  <c r="H84" i="124"/>
  <c r="G83" i="124"/>
  <c r="F83" i="124"/>
  <c r="H80" i="124"/>
  <c r="H79" i="124"/>
  <c r="H78" i="124"/>
  <c r="H77" i="124"/>
  <c r="H76" i="124"/>
  <c r="H74" i="124"/>
  <c r="H73" i="124"/>
  <c r="H72" i="124"/>
  <c r="G71" i="124"/>
  <c r="F71" i="124"/>
  <c r="H70" i="124"/>
  <c r="F69" i="124"/>
  <c r="H69" i="124" s="1"/>
  <c r="E69" i="124"/>
  <c r="H60" i="124"/>
  <c r="H59" i="124"/>
  <c r="H58" i="124"/>
  <c r="H57" i="124"/>
  <c r="H56" i="124"/>
  <c r="H55" i="124"/>
  <c r="H54" i="124"/>
  <c r="H53" i="124"/>
  <c r="H52" i="124"/>
  <c r="H51" i="124"/>
  <c r="G50" i="124"/>
  <c r="F50" i="124"/>
  <c r="E50" i="124"/>
  <c r="H42" i="124"/>
  <c r="H41" i="124"/>
  <c r="H40" i="124"/>
  <c r="H39" i="124"/>
  <c r="H38" i="124"/>
  <c r="H37" i="124"/>
  <c r="H36" i="124"/>
  <c r="H35" i="124"/>
  <c r="H34" i="124"/>
  <c r="H33" i="124"/>
  <c r="H32" i="124"/>
  <c r="H31" i="124"/>
  <c r="H30" i="124"/>
  <c r="H29" i="124"/>
  <c r="H27" i="124"/>
  <c r="H26" i="124"/>
  <c r="H25" i="124"/>
  <c r="H24" i="124"/>
  <c r="H23" i="124"/>
  <c r="H22" i="124"/>
  <c r="H21" i="124"/>
  <c r="G20" i="124"/>
  <c r="E20" i="124"/>
  <c r="H17" i="124"/>
  <c r="H16" i="124"/>
  <c r="H15" i="124"/>
  <c r="H14" i="124"/>
  <c r="G13" i="124"/>
  <c r="F13" i="124"/>
  <c r="H12" i="124"/>
  <c r="G11" i="124"/>
  <c r="F11" i="124"/>
  <c r="E11" i="124"/>
  <c r="H10" i="124"/>
  <c r="H9" i="124"/>
  <c r="G8" i="124"/>
  <c r="F8" i="124"/>
  <c r="E8" i="124"/>
  <c r="G83" i="102"/>
  <c r="F83" i="102"/>
  <c r="E83" i="102"/>
  <c r="H80" i="102"/>
  <c r="H79" i="102"/>
  <c r="H77" i="102"/>
  <c r="H74" i="102"/>
  <c r="E73" i="102"/>
  <c r="H72" i="102"/>
  <c r="G71" i="102"/>
  <c r="F71" i="102"/>
  <c r="E71" i="102"/>
  <c r="H55" i="102"/>
  <c r="G54" i="102"/>
  <c r="F54" i="102"/>
  <c r="E54" i="102"/>
  <c r="H53" i="102"/>
  <c r="H52" i="102"/>
  <c r="H51" i="102"/>
  <c r="H50" i="102"/>
  <c r="H49" i="102"/>
  <c r="H48" i="102"/>
  <c r="H46" i="102"/>
  <c r="H45" i="102"/>
  <c r="H43" i="102"/>
  <c r="H42" i="102"/>
  <c r="H41" i="102"/>
  <c r="E40" i="102"/>
  <c r="H39" i="102"/>
  <c r="H38" i="102"/>
  <c r="G37" i="102"/>
  <c r="F37" i="102"/>
  <c r="E37" i="102"/>
  <c r="H36" i="102"/>
  <c r="G35" i="102"/>
  <c r="F35" i="102"/>
  <c r="E35" i="102"/>
  <c r="F31" i="102"/>
  <c r="E31" i="102"/>
  <c r="H30" i="102"/>
  <c r="H29" i="102"/>
  <c r="H28" i="102"/>
  <c r="H24" i="102"/>
  <c r="H22" i="102"/>
  <c r="H21" i="102"/>
  <c r="H20" i="102"/>
  <c r="G19" i="102"/>
  <c r="F19" i="102"/>
  <c r="F8" i="102" s="1"/>
  <c r="H17" i="102"/>
  <c r="H15" i="102"/>
  <c r="H14" i="102"/>
  <c r="H13" i="102"/>
  <c r="H12" i="102"/>
  <c r="H11" i="102"/>
  <c r="H10" i="102"/>
  <c r="E110" i="125"/>
  <c r="E107" i="125"/>
  <c r="E109" i="125" s="1"/>
  <c r="E105" i="125"/>
  <c r="E103" i="125"/>
  <c r="E91" i="125"/>
  <c r="E89" i="125"/>
  <c r="E21" i="125"/>
  <c r="E13" i="125"/>
  <c r="E10" i="125"/>
  <c r="F38" i="122"/>
  <c r="F36" i="122"/>
  <c r="F34" i="122"/>
  <c r="F32" i="122"/>
  <c r="F26" i="122"/>
  <c r="H73" i="102"/>
  <c r="G98" i="124"/>
  <c r="H18" i="102"/>
  <c r="G31" i="102"/>
  <c r="H31" i="102" s="1"/>
  <c r="E34" i="102" l="1"/>
  <c r="H37" i="102"/>
  <c r="H71" i="102"/>
  <c r="G122" i="108"/>
  <c r="F122" i="108"/>
  <c r="D107" i="118"/>
  <c r="F106" i="118"/>
  <c r="F105" i="118"/>
  <c r="F49" i="118"/>
  <c r="F103" i="118" s="1"/>
  <c r="F73" i="118"/>
  <c r="E107" i="118"/>
  <c r="E23" i="114"/>
  <c r="D30" i="114"/>
  <c r="E12" i="114"/>
  <c r="D37" i="113"/>
  <c r="E30" i="113"/>
  <c r="E14" i="113"/>
  <c r="E13" i="110"/>
  <c r="H86" i="102"/>
  <c r="H54" i="102"/>
  <c r="H35" i="102"/>
  <c r="H19" i="102"/>
  <c r="E8" i="102"/>
  <c r="E90" i="102" s="1"/>
  <c r="F114" i="124"/>
  <c r="G114" i="124"/>
  <c r="H114" i="124" s="1"/>
  <c r="H98" i="124"/>
  <c r="E114" i="124"/>
  <c r="H83" i="124"/>
  <c r="H96" i="124"/>
  <c r="H71" i="124"/>
  <c r="H93" i="124"/>
  <c r="H110" i="124"/>
  <c r="H20" i="124"/>
  <c r="H108" i="124"/>
  <c r="H13" i="124"/>
  <c r="H11" i="124"/>
  <c r="H50" i="124"/>
  <c r="H8" i="124"/>
  <c r="E112" i="125"/>
  <c r="F31" i="122"/>
  <c r="F104" i="118"/>
  <c r="H9" i="102"/>
  <c r="G8" i="102"/>
  <c r="D37" i="110"/>
  <c r="E30" i="110"/>
  <c r="H112" i="124"/>
  <c r="F10" i="109"/>
  <c r="G107" i="108"/>
  <c r="H107" i="108"/>
  <c r="G90" i="102" l="1"/>
  <c r="F85" i="102"/>
  <c r="E85" i="102"/>
  <c r="F107" i="118"/>
  <c r="F90" i="102"/>
  <c r="H34" i="102"/>
  <c r="G85" i="102"/>
  <c r="H8" i="102"/>
  <c r="G10" i="109"/>
  <c r="H10" i="109"/>
  <c r="H85" i="102" l="1"/>
  <c r="E53" i="108"/>
  <c r="G53" i="108"/>
  <c r="G76" i="108"/>
  <c r="F53" i="108"/>
  <c r="F76" i="108" s="1"/>
  <c r="F127" i="108" s="1"/>
  <c r="H53" i="108"/>
  <c r="H76" i="108" s="1"/>
  <c r="E76" i="108" l="1"/>
  <c r="G77" i="108" s="1"/>
  <c r="H127" i="108"/>
  <c r="G127" i="108"/>
  <c r="F77" i="108" l="1"/>
  <c r="H77" i="108"/>
  <c r="E127" i="108"/>
  <c r="F128" i="108" s="1"/>
  <c r="G128" i="108" l="1"/>
  <c r="H128" i="108"/>
</calcChain>
</file>

<file path=xl/sharedStrings.xml><?xml version="1.0" encoding="utf-8"?>
<sst xmlns="http://schemas.openxmlformats.org/spreadsheetml/2006/main" count="4724" uniqueCount="2019">
  <si>
    <t>Název projektu</t>
  </si>
  <si>
    <t xml:space="preserve">3/1 </t>
  </si>
  <si>
    <t xml:space="preserve">3/2 </t>
  </si>
  <si>
    <t>5/1</t>
  </si>
  <si>
    <t>5/2</t>
  </si>
  <si>
    <t>*konsolidací se rozumí vyloučení peněžních převodů mezi rozpočtovými účty a účty penežních fondů představující na jedné straně výdaje rozpočtu a na druhé straně příjmy rozpočtu</t>
  </si>
  <si>
    <t>RO č.</t>
  </si>
  <si>
    <t>obsah</t>
  </si>
  <si>
    <t>04</t>
  </si>
  <si>
    <t>08</t>
  </si>
  <si>
    <t>05</t>
  </si>
  <si>
    <t>01</t>
  </si>
  <si>
    <t>03</t>
  </si>
  <si>
    <t>07</t>
  </si>
  <si>
    <t>14</t>
  </si>
  <si>
    <t>06</t>
  </si>
  <si>
    <t>02</t>
  </si>
  <si>
    <t>09</t>
  </si>
  <si>
    <t>provozní příspěvky přísp.organizacím</t>
  </si>
  <si>
    <t>výdaje fondu ochrany vod</t>
  </si>
  <si>
    <t>10</t>
  </si>
  <si>
    <t xml:space="preserve">přenesené a samostatné působnosti </t>
  </si>
  <si>
    <t>odměny včetně pojistného (zastupitelé)</t>
  </si>
  <si>
    <t>výdaje sociálního fondu</t>
  </si>
  <si>
    <t>výdaje kraje celkem</t>
  </si>
  <si>
    <t>právní odbor</t>
  </si>
  <si>
    <t xml:space="preserve">4/1 </t>
  </si>
  <si>
    <t>ORJ</t>
  </si>
  <si>
    <t xml:space="preserve">název odboru </t>
  </si>
  <si>
    <t>pol.</t>
  </si>
  <si>
    <t>druh příjmů</t>
  </si>
  <si>
    <t>1xxx</t>
  </si>
  <si>
    <t>podíl kraje na sdílených daních</t>
  </si>
  <si>
    <t>příjmy z úroků</t>
  </si>
  <si>
    <t>příspěvky obcí na dopravní obslužnost</t>
  </si>
  <si>
    <t>odbor kultury, památ.péče a cestovního ruchu</t>
  </si>
  <si>
    <t>2xxx</t>
  </si>
  <si>
    <t>příspěvek na přenesený výkon st.správy</t>
  </si>
  <si>
    <t>zdroje kraje celkem</t>
  </si>
  <si>
    <t xml:space="preserve">druh výdajů </t>
  </si>
  <si>
    <t>kapitálové dotace</t>
  </si>
  <si>
    <t xml:space="preserve">2/1 </t>
  </si>
  <si>
    <t>běžné provozní výdaje spravované odborem kancelář hejtmana</t>
  </si>
  <si>
    <t>běžné provozní výdaje spravované odborem kancelář ředitele</t>
  </si>
  <si>
    <t>odbor soc.věcí</t>
  </si>
  <si>
    <t>neinvestiční přijaté transfery ze zahraničí</t>
  </si>
  <si>
    <t>Název položky</t>
  </si>
  <si>
    <t>v tom:</t>
  </si>
  <si>
    <t>373</t>
  </si>
  <si>
    <t>374</t>
  </si>
  <si>
    <t>Ostatní krátkodobé pohledávky</t>
  </si>
  <si>
    <t>377</t>
  </si>
  <si>
    <t>Náklady příštích období</t>
  </si>
  <si>
    <t>381</t>
  </si>
  <si>
    <t>Dohadné účty aktivní</t>
  </si>
  <si>
    <t>388</t>
  </si>
  <si>
    <t>Dohadné účty pasivní</t>
  </si>
  <si>
    <t>389</t>
  </si>
  <si>
    <t>Vnitřní zúčtování</t>
  </si>
  <si>
    <t>395</t>
  </si>
  <si>
    <t>Ostatní fondy</t>
  </si>
  <si>
    <t>419</t>
  </si>
  <si>
    <t>451</t>
  </si>
  <si>
    <t>459</t>
  </si>
  <si>
    <t>462</t>
  </si>
  <si>
    <t>Ostatní dlouhodobé pohledávky</t>
  </si>
  <si>
    <t>469</t>
  </si>
  <si>
    <t>901</t>
  </si>
  <si>
    <t>902</t>
  </si>
  <si>
    <t>Ostatní majetek</t>
  </si>
  <si>
    <t>tis.Kč</t>
  </si>
  <si>
    <t>ukazatel</t>
  </si>
  <si>
    <t>plnění</t>
  </si>
  <si>
    <t>% plnění</t>
  </si>
  <si>
    <t>úroky</t>
  </si>
  <si>
    <t>x</t>
  </si>
  <si>
    <t xml:space="preserve">ukazatel </t>
  </si>
  <si>
    <t>pozn.</t>
  </si>
  <si>
    <t>18</t>
  </si>
  <si>
    <t>oddělení sekretariátu ředitele</t>
  </si>
  <si>
    <t>spolufinancování EU</t>
  </si>
  <si>
    <t>daň z příjmů právnických osob hrazená krajem</t>
  </si>
  <si>
    <t>Kapitola 924 - Úvěry</t>
  </si>
  <si>
    <t>v tis. Kč</t>
  </si>
  <si>
    <t>Kapitola 923 - Spolufinancování EU</t>
  </si>
  <si>
    <t>čerpání</t>
  </si>
  <si>
    <t>příspěvkové organizace</t>
  </si>
  <si>
    <t>úvěry</t>
  </si>
  <si>
    <t>odvody příspěvkových organizací</t>
  </si>
  <si>
    <t>12</t>
  </si>
  <si>
    <t>ÚPRAVY SCHVÁLENÉHO ROZPOČTU</t>
  </si>
  <si>
    <t>uhrazené splátky dlouhodobých přijatých úvěrů</t>
  </si>
  <si>
    <t>Pozemky</t>
  </si>
  <si>
    <t>Výnosy příštích období</t>
  </si>
  <si>
    <t>384</t>
  </si>
  <si>
    <t>Jmění účetní jednotky</t>
  </si>
  <si>
    <t>401</t>
  </si>
  <si>
    <t>403</t>
  </si>
  <si>
    <t>406</t>
  </si>
  <si>
    <t>Oprávky k software</t>
  </si>
  <si>
    <t>073</t>
  </si>
  <si>
    <t>Oprávky k ocenitelným právům</t>
  </si>
  <si>
    <t>074</t>
  </si>
  <si>
    <t>Oprávky k DDNM</t>
  </si>
  <si>
    <t>078</t>
  </si>
  <si>
    <t>Oprávky k ostatnímu DNM</t>
  </si>
  <si>
    <t>079</t>
  </si>
  <si>
    <t>Oprávky ke stavbám</t>
  </si>
  <si>
    <t>081</t>
  </si>
  <si>
    <t>082</t>
  </si>
  <si>
    <t>Oprávky k DDHM</t>
  </si>
  <si>
    <t>088</t>
  </si>
  <si>
    <t>194</t>
  </si>
  <si>
    <t>SÚ</t>
  </si>
  <si>
    <t>Text</t>
  </si>
  <si>
    <t>CELKEM POK  skutečný stav</t>
  </si>
  <si>
    <t>ROZDÍL</t>
  </si>
  <si>
    <t>Sociální věci skutečný stav</t>
  </si>
  <si>
    <t>Životní prostředí skutečný stav</t>
  </si>
  <si>
    <t>Zdravotnictví  skutečný stav</t>
  </si>
  <si>
    <t>F/D</t>
  </si>
  <si>
    <t>Software</t>
  </si>
  <si>
    <t>F</t>
  </si>
  <si>
    <t>Drobný dlouhodobý nehmotný majetek</t>
  </si>
  <si>
    <t>Ostatní dlouhodobý nehmotný majetek</t>
  </si>
  <si>
    <t>D</t>
  </si>
  <si>
    <t>Stavby</t>
  </si>
  <si>
    <t>Drobný dlouhodobý hmotný majetek</t>
  </si>
  <si>
    <t>Ostatní dlouhodobý hmotný majetek</t>
  </si>
  <si>
    <t xml:space="preserve">Pozemky </t>
  </si>
  <si>
    <t>Celkem Kč</t>
  </si>
  <si>
    <t>Název majetku</t>
  </si>
  <si>
    <t>Inventura</t>
  </si>
  <si>
    <t>013</t>
  </si>
  <si>
    <t>Ocenitelná práva</t>
  </si>
  <si>
    <t>014</t>
  </si>
  <si>
    <t>018</t>
  </si>
  <si>
    <t>Ostatní DNM</t>
  </si>
  <si>
    <t>číslo usnesení</t>
  </si>
  <si>
    <t>správce rozpočtových prostředků</t>
  </si>
  <si>
    <t>vliv na objem rozpočtu tis.Kč</t>
  </si>
  <si>
    <t>dotace z MŠMT, zapojení do kap. 91604</t>
  </si>
  <si>
    <t>dotace z MPSV, zapojení do kap. 92305</t>
  </si>
  <si>
    <t>Ukazatel / Rok</t>
  </si>
  <si>
    <t>z toho:</t>
  </si>
  <si>
    <t>Revitalizace pozemních komunikací na území LK - úvěr</t>
  </si>
  <si>
    <t>Splátky jistin a obdobných závazků</t>
  </si>
  <si>
    <t>Revitalizace pozemních komunikací na území LK - roční splátka jistiny</t>
  </si>
  <si>
    <t>neinv.přijaté transfery od mezinár.institucí</t>
  </si>
  <si>
    <t>Kurzové rozdíly a transakční náklady projektů EU</t>
  </si>
  <si>
    <t>MF</t>
  </si>
  <si>
    <t>ministerstvo práce a sociálních věcí</t>
  </si>
  <si>
    <t>ministerstvo dopravy</t>
  </si>
  <si>
    <t>019</t>
  </si>
  <si>
    <t>021</t>
  </si>
  <si>
    <t>022</t>
  </si>
  <si>
    <t>DDHM</t>
  </si>
  <si>
    <t>028</t>
  </si>
  <si>
    <t>031</t>
  </si>
  <si>
    <t>032</t>
  </si>
  <si>
    <t>041</t>
  </si>
  <si>
    <t>042</t>
  </si>
  <si>
    <t>061</t>
  </si>
  <si>
    <t>Materiál na skladě</t>
  </si>
  <si>
    <t>112</t>
  </si>
  <si>
    <t>231</t>
  </si>
  <si>
    <t>236</t>
  </si>
  <si>
    <t>245</t>
  </si>
  <si>
    <t>Ceniny</t>
  </si>
  <si>
    <t>263</t>
  </si>
  <si>
    <t>Odběratelé</t>
  </si>
  <si>
    <t>311</t>
  </si>
  <si>
    <t>314</t>
  </si>
  <si>
    <t>315</t>
  </si>
  <si>
    <t>316</t>
  </si>
  <si>
    <t>Dodavatelé</t>
  </si>
  <si>
    <t>321</t>
  </si>
  <si>
    <t>324</t>
  </si>
  <si>
    <t>331</t>
  </si>
  <si>
    <t>333</t>
  </si>
  <si>
    <t>Pohledávky za zaměstnanci</t>
  </si>
  <si>
    <t>vlastní příjmy rozpočtu kraje</t>
  </si>
  <si>
    <t>poplatky za odběry podzemních vod</t>
  </si>
  <si>
    <t>ostatní nedaňové příjmy</t>
  </si>
  <si>
    <t>kapitálové příjmy z prodeje dlouhodobého majetku kraje</t>
  </si>
  <si>
    <t>dotační příjmy rozpočtu kraje</t>
  </si>
  <si>
    <t>zákon o státním rozpočtu</t>
  </si>
  <si>
    <t>dotace z jiných rozpočtů</t>
  </si>
  <si>
    <t>SFŽP</t>
  </si>
  <si>
    <t>ministerstvo kultury</t>
  </si>
  <si>
    <t xml:space="preserve">MŠMT </t>
  </si>
  <si>
    <t>MPSV</t>
  </si>
  <si>
    <t>MD</t>
  </si>
  <si>
    <t>MMR</t>
  </si>
  <si>
    <t>MŽP</t>
  </si>
  <si>
    <t>MK</t>
  </si>
  <si>
    <t>13</t>
  </si>
  <si>
    <t>15</t>
  </si>
  <si>
    <t>ostatní přijaté vratky transferů</t>
  </si>
  <si>
    <t>přijaté nekapitálové příspěvky a náhrady</t>
  </si>
  <si>
    <t>přijaté splátky půjčených prostředků</t>
  </si>
  <si>
    <t>nedaňové příjmy ostatní</t>
  </si>
  <si>
    <t>kapitálové příjmy</t>
  </si>
  <si>
    <t xml:space="preserve">z toho </t>
  </si>
  <si>
    <t>Dotační příjmy rozpočtu kraje</t>
  </si>
  <si>
    <t>příspěvek na výkon státní správy</t>
  </si>
  <si>
    <t>příspěvky z rozpočtů obcí na dopravní obslužnost</t>
  </si>
  <si>
    <t>Financování</t>
  </si>
  <si>
    <t>kap.</t>
  </si>
  <si>
    <t>běžné provozní výdaje (zastupitelstvo)</t>
  </si>
  <si>
    <t>běžné provozní výdaje krajského úřadu</t>
  </si>
  <si>
    <t>v resortu dopravy</t>
  </si>
  <si>
    <t>v resortu zdravotnictví</t>
  </si>
  <si>
    <t>odbor ekonomický</t>
  </si>
  <si>
    <t>odbor informatiky</t>
  </si>
  <si>
    <t>odbor správní</t>
  </si>
  <si>
    <t>odbor investic a správy nemovitého majetku</t>
  </si>
  <si>
    <t>odbor regionálního rozvoje a evropských projektů</t>
  </si>
  <si>
    <t>odbor kancelář ředitele</t>
  </si>
  <si>
    <t>%plnění</t>
  </si>
  <si>
    <t>kapitálové dotace státního rozpočtu</t>
  </si>
  <si>
    <t>v resortu školství, mládeže a tělovýchovy a sportu (nepřímé náklady)</t>
  </si>
  <si>
    <t>v resortu sociálních věcí</t>
  </si>
  <si>
    <t>v resortu kultury, památkové péče a cestovního ruchu</t>
  </si>
  <si>
    <t>působnosti kraje</t>
  </si>
  <si>
    <t>odbor sociálních věcí</t>
  </si>
  <si>
    <t>odbor právní</t>
  </si>
  <si>
    <t>kapitálové výdaje</t>
  </si>
  <si>
    <t xml:space="preserve">2/2 </t>
  </si>
  <si>
    <t>LESNICKÝ FOND KRAJE</t>
  </si>
  <si>
    <t>FOND OCHRANY VOD KRAJE</t>
  </si>
  <si>
    <t>infrastruktura-spoluúčast kraje - akce</t>
  </si>
  <si>
    <t>infrastruktura-spoluúčast kraje - rezerva</t>
  </si>
  <si>
    <t>finanční rezervy fondu</t>
  </si>
  <si>
    <t>program vodohospod. akcí - akce</t>
  </si>
  <si>
    <t>program vodohospod. akcí - rezerva</t>
  </si>
  <si>
    <t>KRIZOVÝ FOND KRAJE</t>
  </si>
  <si>
    <t>CELKEM</t>
  </si>
  <si>
    <t>ministerstvo životního prostředí</t>
  </si>
  <si>
    <t>ministerstvo financí</t>
  </si>
  <si>
    <t>345</t>
  </si>
  <si>
    <t>346</t>
  </si>
  <si>
    <t>347</t>
  </si>
  <si>
    <t>348</t>
  </si>
  <si>
    <t>349</t>
  </si>
  <si>
    <t>příspěvky na hospodaření v lesích - rezerva</t>
  </si>
  <si>
    <t>příspěvky na hospodaření v lesích - transfery</t>
  </si>
  <si>
    <t>335</t>
  </si>
  <si>
    <t>336</t>
  </si>
  <si>
    <t>342</t>
  </si>
  <si>
    <t>DPH</t>
  </si>
  <si>
    <t>343</t>
  </si>
  <si>
    <t>378</t>
  </si>
  <si>
    <t>Ostatní dlouhodobé závazky</t>
  </si>
  <si>
    <t>Peníze na cestě</t>
  </si>
  <si>
    <t>262</t>
  </si>
  <si>
    <t>341</t>
  </si>
  <si>
    <t>financování</t>
  </si>
  <si>
    <t>celkem</t>
  </si>
  <si>
    <t>SOCIÁLNÍ FOND KRAJE</t>
  </si>
  <si>
    <t>příspěvky na stravování</t>
  </si>
  <si>
    <t>odměny při životních jubileích</t>
  </si>
  <si>
    <t>příspěvek k penzijnímu připojištění</t>
  </si>
  <si>
    <t>předplatné a příspěvky na sportovní činnost</t>
  </si>
  <si>
    <t>předplatné a příspěvky na kulturní činnost</t>
  </si>
  <si>
    <t>sociální výpomoci a půjčky</t>
  </si>
  <si>
    <t>dary</t>
  </si>
  <si>
    <t>finanční rezerva SF</t>
  </si>
  <si>
    <t>Pěstitelské celky</t>
  </si>
  <si>
    <t>408</t>
  </si>
  <si>
    <t>Dlouhodobé poskytnuté zálohy</t>
  </si>
  <si>
    <t>465</t>
  </si>
  <si>
    <t>Dlouhodobé poskytnuté zálohy na transfery</t>
  </si>
  <si>
    <t>Dlouhodobé přijaté zálohy na transfery</t>
  </si>
  <si>
    <t>471</t>
  </si>
  <si>
    <t>472</t>
  </si>
  <si>
    <t>ostatní odvody z poskyt. činností a služeb (odb.způs.+ eurolicence)</t>
  </si>
  <si>
    <t>*</t>
  </si>
  <si>
    <t>odbor kancelář hejtmana</t>
  </si>
  <si>
    <t>odbor školství, mládeže, tělovýchovy a sportu</t>
  </si>
  <si>
    <t>odbor dopravy</t>
  </si>
  <si>
    <t>odbor kultury, památkové péče a cestovního ruchu</t>
  </si>
  <si>
    <t>odbor životního prostředí a zemědělství</t>
  </si>
  <si>
    <t>odbor zdravotnictví</t>
  </si>
  <si>
    <t>odbor územního plánování a stavebního řádu</t>
  </si>
  <si>
    <t>odbor regionálního rozvoje a evrop. projektů</t>
  </si>
  <si>
    <t xml:space="preserve">DDNM </t>
  </si>
  <si>
    <t>Kulturní předměty</t>
  </si>
  <si>
    <t>Nedokončený DNM</t>
  </si>
  <si>
    <t>Nedokončený DHM</t>
  </si>
  <si>
    <t>Majetkové účasti v osobách s rozhodujícím vlivem</t>
  </si>
  <si>
    <t>Základní běžný účet územně samosprávných celků</t>
  </si>
  <si>
    <t xml:space="preserve">Běžné účty fondů územních samosprávných celků </t>
  </si>
  <si>
    <t>Jiné běžné účty</t>
  </si>
  <si>
    <t>Krátkodobé poskytnuté zálohy</t>
  </si>
  <si>
    <t>Jiné pohledávky z hlavní činnosti</t>
  </si>
  <si>
    <t>Poskytnuté návratné fin. výpom. krátkodobé</t>
  </si>
  <si>
    <t>319</t>
  </si>
  <si>
    <t>Krátkodobé přijaté zálohy</t>
  </si>
  <si>
    <t>Zaměstnanci</t>
  </si>
  <si>
    <t>Jiné závazky vůči zaměstnancům</t>
  </si>
  <si>
    <t>344</t>
  </si>
  <si>
    <t>Závazky k osobám mimo vybrané vládní instituce</t>
  </si>
  <si>
    <t>Pohledávky za vybranými ústředními vládními institucemi</t>
  </si>
  <si>
    <t>Závazky k vybraným ústředním vládním institucím</t>
  </si>
  <si>
    <t>Pohledávky za vybranými místními vládními institucemi</t>
  </si>
  <si>
    <t>Závazky k vybraným místním vládním institucím</t>
  </si>
  <si>
    <t>Krátkodobé poskytnuté zálohy na transfery</t>
  </si>
  <si>
    <t>Krátkodobé přijaté zálohy na transfery</t>
  </si>
  <si>
    <t>Ostatní krátkodobé závazky</t>
  </si>
  <si>
    <t>Transfery na pořízení dlouhodobého majetku</t>
  </si>
  <si>
    <t>Oceň. rozdíly při prvotním použití metody</t>
  </si>
  <si>
    <t>Jiné oceňovací rozdíly</t>
  </si>
  <si>
    <t>Dlouhodobé úvěry</t>
  </si>
  <si>
    <t>Poskytnuté návratné fin. výpomoci dlouhodobé</t>
  </si>
  <si>
    <t>Vyřazené pohledávky</t>
  </si>
  <si>
    <t>407</t>
  </si>
  <si>
    <t>investiční dotace</t>
  </si>
  <si>
    <t>MZdr</t>
  </si>
  <si>
    <t>SFDI</t>
  </si>
  <si>
    <t>Státní fond dopravní infrastruktury</t>
  </si>
  <si>
    <t>ministerstvo zdravotnictví</t>
  </si>
  <si>
    <t>pokladní správa</t>
  </si>
  <si>
    <t>dotační fond</t>
  </si>
  <si>
    <t>DOTAČNÍ FOND KRAJE</t>
  </si>
  <si>
    <t>reort - název programu/poprogrmu</t>
  </si>
  <si>
    <t>kancelář hejtmana</t>
  </si>
  <si>
    <t>1.1 Podpora jednotek PO obcí Libereckého kraje</t>
  </si>
  <si>
    <t>1.2 Podpora Sdružení hasičů Čech, Moravy a Slezska</t>
  </si>
  <si>
    <t>regionální rozvoj,evrop. projekty a rozvoj venkova</t>
  </si>
  <si>
    <t>2.1 Program obnovy venkova</t>
  </si>
  <si>
    <t>2.2 Regionální inovační program</t>
  </si>
  <si>
    <t>2.5 Podpora regionál. výrobců, výrobků a tradič. řemesel</t>
  </si>
  <si>
    <t>3.5 Pravidelná činnost sport. a tělových. organizací</t>
  </si>
  <si>
    <t>resort školství, mládeže a zaměstnanosti</t>
  </si>
  <si>
    <t>4.1 Podpora volnočasových aktivit</t>
  </si>
  <si>
    <t>4.2 Komunitní funkce škol</t>
  </si>
  <si>
    <t>4.3 Specifická primární prevence rizikového chování</t>
  </si>
  <si>
    <t>4.5 Pedagogická asistence</t>
  </si>
  <si>
    <t>4.6 Vzdělání pro vyšší zaměstnanost</t>
  </si>
  <si>
    <t>resort dopravy</t>
  </si>
  <si>
    <t>6.1 Rozvoj cyklistické dopravy</t>
  </si>
  <si>
    <t>6.2 Zvýšení bezpečnosti provozu na pozemních komunikacích</t>
  </si>
  <si>
    <t>6.3 Podpora projektové přípravy</t>
  </si>
  <si>
    <t>6.4 Výchovné a vzdělávací programy</t>
  </si>
  <si>
    <t>resort cestovního ruchu, památkové péče a kultury</t>
  </si>
  <si>
    <t>7.1 Kulturní aktivity v Libereckém kraji</t>
  </si>
  <si>
    <t>7.2 Záchrana a obnova památek v Libereckém kraji</t>
  </si>
  <si>
    <t>7.3 Stavebně historický průzkum</t>
  </si>
  <si>
    <t>7.4 Archeologie</t>
  </si>
  <si>
    <t>resort životního prostředí a zemědělství</t>
  </si>
  <si>
    <t>8.1 Podpora ekologické výchovy a osvěty</t>
  </si>
  <si>
    <t xml:space="preserve">8.2 Podpora ochrany přírody a krajiny </t>
  </si>
  <si>
    <t>8.3 Podpora včelařství</t>
  </si>
  <si>
    <t>Název úvěru</t>
  </si>
  <si>
    <t>u k a z a t e l</t>
  </si>
  <si>
    <t>Vlastní příjmy rozpočtu kraje</t>
  </si>
  <si>
    <t>z nich</t>
  </si>
  <si>
    <t>daňové příjmy</t>
  </si>
  <si>
    <t>z toho</t>
  </si>
  <si>
    <t>podíl kraje na dani z přidané hodnoty</t>
  </si>
  <si>
    <t>podíl kraje na dani z příjmů fyzických osob vybírané srážkou</t>
  </si>
  <si>
    <t>podíl kraje na dani z příjmů fyzických osob  z podnikání</t>
  </si>
  <si>
    <t>podíl kraje na dani z příjmů fyzických osob ze závislé činnosti</t>
  </si>
  <si>
    <t>podíl kraje na dani z příjmů právnických osob</t>
  </si>
  <si>
    <t>správní poplatky vybírané krajem</t>
  </si>
  <si>
    <t>nedaňové příjmy</t>
  </si>
  <si>
    <t>příjmy z vlastní činnosti</t>
  </si>
  <si>
    <t>odvody příspěvkových organizací kraje</t>
  </si>
  <si>
    <t>příjmy z pronájmu majetku</t>
  </si>
  <si>
    <t>příjmy z úroků a realizace finančního majetku kraje</t>
  </si>
  <si>
    <t>přijaté sankční platby</t>
  </si>
  <si>
    <t xml:space="preserve">příjmy z fin.vypořádání min. let mezi RR a krajem </t>
  </si>
  <si>
    <t>vyšší než rozpočtované příjmy</t>
  </si>
  <si>
    <t>v resortu životního prostředí a zemědělství</t>
  </si>
  <si>
    <t>transfery</t>
  </si>
  <si>
    <t>dotace z MPSV, zapojení do kap. 91705</t>
  </si>
  <si>
    <t>dotace z MZdr, zapojení do kap. 91709</t>
  </si>
  <si>
    <t>nespecifikovaná rezerva Krizového fondu</t>
  </si>
  <si>
    <t>vratky dotací a sankční platby za porušení rozp.kázně</t>
  </si>
  <si>
    <t>2.6 Podpora místní Agendy 21</t>
  </si>
  <si>
    <t xml:space="preserve">2.7 Program na podporu činnosti mateřských center </t>
  </si>
  <si>
    <t>Sam. hmotné  mov. věci a soubory hmotných mov. věcí</t>
  </si>
  <si>
    <t>036</t>
  </si>
  <si>
    <t>Pohledávky z přerozdělených daní</t>
  </si>
  <si>
    <t>Sociální zabezpečení</t>
  </si>
  <si>
    <t>Zdravotní pojištění</t>
  </si>
  <si>
    <t>337</t>
  </si>
  <si>
    <t>Daň z příjmů</t>
  </si>
  <si>
    <t>Jiný drobný dlouhodobý nehmotný majetek</t>
  </si>
  <si>
    <t>Jiný drobný dlouhodobý hmotný majetek</t>
  </si>
  <si>
    <t>994</t>
  </si>
  <si>
    <t>Opravné položky k odběratelům</t>
  </si>
  <si>
    <t>192</t>
  </si>
  <si>
    <t>025</t>
  </si>
  <si>
    <t>029</t>
  </si>
  <si>
    <t xml:space="preserve">Dlouhodobý hmotný majetek určený k prodeji </t>
  </si>
  <si>
    <t>Samostatné  hmotné movité věci  a soubory hmotných movitých věcí</t>
  </si>
  <si>
    <t>ostatní kapitálové příjmy</t>
  </si>
  <si>
    <t>příjmy z prodeje pozemků a nemovitostí</t>
  </si>
  <si>
    <t>neinvestiční transfery dle zákona o státním rozpočtu</t>
  </si>
  <si>
    <t>neinvestiční transfery z jiných rozpočtů</t>
  </si>
  <si>
    <t>neinvestiční transfery ze státního rozpočtu, ze státních fondů a Národního fondu</t>
  </si>
  <si>
    <t>investiční transfery ze státního rozpočtu, ze státních fondů a Národního fondu</t>
  </si>
  <si>
    <t>investiční transfery z jiných rozpočtů</t>
  </si>
  <si>
    <t>neinvestiční dotace</t>
  </si>
  <si>
    <t>neinvestiční dotace z VPS</t>
  </si>
  <si>
    <t>finanční rezerva dle zásad - případné výpadky daň. příjmů</t>
  </si>
  <si>
    <t>výdaje krizového fondu</t>
  </si>
  <si>
    <t>výdaje lesnického fondu</t>
  </si>
  <si>
    <t>/</t>
  </si>
  <si>
    <t>dotace z MF, zapojení do kap. 91708</t>
  </si>
  <si>
    <t xml:space="preserve">ostatní služby </t>
  </si>
  <si>
    <t>platby dle zákona o IZS</t>
  </si>
  <si>
    <t>4.20 Údržba, provoz a nájem sportovních zařízení</t>
  </si>
  <si>
    <t>4.21 Pravidelná činnost sport. a tělových. organizací</t>
  </si>
  <si>
    <t>4.22 Sport handicapovaných</t>
  </si>
  <si>
    <t>4.23 Sportovní akce</t>
  </si>
  <si>
    <t>4.24 Školní sport a tělovýchova</t>
  </si>
  <si>
    <t>4.25 Sportovní reprezentace kraje</t>
  </si>
  <si>
    <t>4.26 Podpora sport.činností dětí a mládeže ve sportov.klubech</t>
  </si>
  <si>
    <t>resort zdravotnictví</t>
  </si>
  <si>
    <t>výdaje na opatření na odstranění závadného stavu</t>
  </si>
  <si>
    <t>375</t>
  </si>
  <si>
    <t>Opravy předcházejících účetních období</t>
  </si>
  <si>
    <t>905</t>
  </si>
  <si>
    <t>956</t>
  </si>
  <si>
    <t>příspěvky z rozpočtů obcí (dopravní obslužnost)</t>
  </si>
  <si>
    <t>V části financování značí ve sloupci SR a UR kladné znaménko navýšení zdrojů a záporné znaménko pak snížení zdrojů (k příjmům) rozpočtu. Plnění v části financování ukazuje do jaké míry bylo plánované financování naplněno, tj. že byly na 100% uhrazeny splátky dlouhodobých úvěrů, které snížily disponibilní zdroje a zároveň záporné znaménko v plnění u řádků zapojení zůstatků peněžních fondů a kladného rozpočtového salda z předchozího roku značí, že disponibilní zůstatek nebyl dle upraveného rozpočtu zapojen, ba naopak byl o tuto částku zůstatek finančních prostředků na bankovních účtech kraje navýšen.</t>
  </si>
  <si>
    <t xml:space="preserve">dosažené úspory výdajových kapitol </t>
  </si>
  <si>
    <t>kontrolní mezisoučet rozboru příjmů</t>
  </si>
  <si>
    <t>4/2</t>
  </si>
  <si>
    <t>Ostatní daně, poplatky a jiná obd. peněž. plnění</t>
  </si>
  <si>
    <t>Krátkodobé zprostředkování transferů</t>
  </si>
  <si>
    <t>909</t>
  </si>
  <si>
    <t>Ostatní dl. podm. závazky z transferů</t>
  </si>
  <si>
    <t>Celkem</t>
  </si>
  <si>
    <t>Kultura  skutečný stav</t>
  </si>
  <si>
    <t>CELKEM jmenovité projekty v rámci kapitoly 923 - Spolufinancování EU</t>
  </si>
  <si>
    <t>Operační program nadnárodní spolupráce (OP NS) 2014+</t>
  </si>
  <si>
    <t>Rozvoj společné dopravní koncepce veřejné dopravy v příhraničních oblastech</t>
  </si>
  <si>
    <t>Kofinancování IROP a TOP</t>
  </si>
  <si>
    <t>Operační program Výzkum, vývoj a vzdělávání (OP VVV) 2014+</t>
  </si>
  <si>
    <t>Operační program Technická pomoc (OP TP) 2014+</t>
  </si>
  <si>
    <t>účelové příspěvky PO</t>
  </si>
  <si>
    <t>v resortu školství, mládeže a tělovýchovy a sportu</t>
  </si>
  <si>
    <t>přesun z kap. 92303 do kap. 92302</t>
  </si>
  <si>
    <t>dotace z MK, zapojení do kap. 91707</t>
  </si>
  <si>
    <t>dotace z MPSV, zapojení do kap. 91405</t>
  </si>
  <si>
    <t>dotace z MPSV, zapojení do kap. 92304</t>
  </si>
  <si>
    <t>poukázky</t>
  </si>
  <si>
    <t>4.4 Soutěže a podpora talentovaných dětí a mládeže</t>
  </si>
  <si>
    <t>4.7 Podpora kompenz.pomůcek pro žáky s podpůrnými opatřeními</t>
  </si>
  <si>
    <t>3.4 Údržba, provoz a nájem sportovních zařízení</t>
  </si>
  <si>
    <t>3.6 Sport handicapovaných</t>
  </si>
  <si>
    <t>3.8 Sportovní akce</t>
  </si>
  <si>
    <t>7.5 Poznáváme kulturu</t>
  </si>
  <si>
    <t>9.1 Podpora ozdravných a rekondičních pobytů pro ZTP</t>
  </si>
  <si>
    <t>9.2 Podpora preventivních a léčebných projektů</t>
  </si>
  <si>
    <t>9.3 Podpora osob se zdravotním postižením</t>
  </si>
  <si>
    <t>podpora zmírnění sucha v lesích - rezerva</t>
  </si>
  <si>
    <t>podpora zmírnění sucha v lesích - transfery</t>
  </si>
  <si>
    <t>č.řádku</t>
  </si>
  <si>
    <t>účetní závěrka</t>
  </si>
  <si>
    <t>usnesením číslo</t>
  </si>
  <si>
    <t>do rezervního fondu</t>
  </si>
  <si>
    <t>do fondu odměn</t>
  </si>
  <si>
    <t>nerozděleno /krytí ztráty předchozích let</t>
  </si>
  <si>
    <t>schválena</t>
  </si>
  <si>
    <t>Gymnázium, Česká Lípa, Žitavská 2969</t>
  </si>
  <si>
    <t>Gymnázium, Jablonec nad Nisou, U Balvanu 16</t>
  </si>
  <si>
    <t>Gymnázium F.X.Šaldy, Liberec 11, Partyzánská 530/3</t>
  </si>
  <si>
    <t>Gymnázium, Frýdlant, Mládeže 884</t>
  </si>
  <si>
    <t>Gymnázium Ivana Olbrachta, Semily, Nad Špejcharem 574</t>
  </si>
  <si>
    <t>Gymnázium, Turnov, Jana Palacha 804</t>
  </si>
  <si>
    <t>Gymnázium a Střední odborná škola, Jilemnice, Tkalcovská 460</t>
  </si>
  <si>
    <t>Gymnázium  a Střední odborná škola pedagogická, Liberec, Jeronýmova 27</t>
  </si>
  <si>
    <t>Obchodní akademie, Česká Lípa, nám. Osvobození 422</t>
  </si>
  <si>
    <t>Vyšší odborná škola mezinárodního obchodu a Obchodní akademie, Jablonec nad Nisou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</si>
  <si>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</si>
  <si>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</si>
  <si>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 1, Sokolovské nám. 14</t>
  </si>
  <si>
    <t xml:space="preserve">Střední průmyslová škola strojní a elektrotechnická a Vyšší odborná škola, Liberec 1, Masarykova 3 </t>
  </si>
  <si>
    <t>Střední průmyslová škola textilní, Liberec, Tyršova 1</t>
  </si>
  <si>
    <t>Střední umělecko průmyslová škola a Vyšší odborná škola, Jablonec nad Nisou, Horní náměstí 1</t>
  </si>
  <si>
    <t>Střední uměleckoprůmyslová škola a Vyšší odborná škola Turnov, Skálova 373</t>
  </si>
  <si>
    <t>Střední zdravotnická škola a Vyšší odborná škola zdravotnická, Liberec, Kostelní 9</t>
  </si>
  <si>
    <t>Střední zdravotnická škola, Turnov, 28. října 1390</t>
  </si>
  <si>
    <t>Střední škola strojní, stavební a dopravní, Liberec II, Truhlářská 360/3</t>
  </si>
  <si>
    <t>Integrovaná střední škola Semily, 28. října 607</t>
  </si>
  <si>
    <t>Integrovaná střední škola, Vysoké nad Jizerou, Dr. Farského 300</t>
  </si>
  <si>
    <t>Střední průmyslová škola technická, Jablonec nad Nisou, Belgická 4852</t>
  </si>
  <si>
    <t>Střední škola gastronomie a služeb, Liberec II, Dvorská 447/29</t>
  </si>
  <si>
    <t>příspěvkové organizace v resortu školství - mezisoučet</t>
  </si>
  <si>
    <t>příspěvkové organizace v resortu školství - přenos</t>
  </si>
  <si>
    <t>Střední škola hospodářská a lesnická Frýdlant, Bělíkova 1387</t>
  </si>
  <si>
    <t>Střední odborná škola  Liberec, Jablonecká 999</t>
  </si>
  <si>
    <t>Obchodní akademie, Hotelová škola a Střední odborná škola Turnov, Zborovská 519</t>
  </si>
  <si>
    <t>Základní škola a mateřská škola logopedická Liberec, E. Krásnohorské 921</t>
  </si>
  <si>
    <t>Základní škola a Mateřská škola pro tělesně postižené Liberec, Lužická 920/7</t>
  </si>
  <si>
    <t>Základní škola  Jablonec nad Nisou, Liberecká 1734/31</t>
  </si>
  <si>
    <t>ZŠ a MŠ při dětské léčebně, Cvikov, Ústavní 531</t>
  </si>
  <si>
    <t>Základní škola a Mateřská škola při nemocnici, Liberec, Husova 357/10</t>
  </si>
  <si>
    <t>Základní škola  a Mateřská škola, Jablonec nad Nisou, Kamenná 404/4</t>
  </si>
  <si>
    <t>Základní škola, Tanvald, Údolí Kamenice 238</t>
  </si>
  <si>
    <t>Základní škola a Mateřská škola, Jilemnice, Komenského 103</t>
  </si>
  <si>
    <t>Dětský domov, Česká Lípa, Mariánská 570</t>
  </si>
  <si>
    <t>Dětský domov, Jablonné v Podještědí, Zámecká 1</t>
  </si>
  <si>
    <t>Dětský domov, Základní škola a Mateřská škola, Krompach 47</t>
  </si>
  <si>
    <t>Dětský domov, Dubá-Deštná 6</t>
  </si>
  <si>
    <t>Dětský domov, Jablonec nad Nisou, Pasecká 20</t>
  </si>
  <si>
    <t>Dětský domov, Frýdlant, Větrov 3005</t>
  </si>
  <si>
    <t>Dětský domov, Semily, nad Školami 480</t>
  </si>
  <si>
    <t>Pedagogicko-psychologická poradna, Jablonec nad Nisou, Palackého 48</t>
  </si>
  <si>
    <t>Pedagogicko-psychologická poradna,  Liberec, Truhlářská 3</t>
  </si>
  <si>
    <t>příspěvkové organizace v resortu školství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</si>
  <si>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školství</t>
    </r>
  </si>
  <si>
    <t xml:space="preserve">Centrum intervenčních a psychosociálních služeb LK, Liberec 30, </t>
  </si>
  <si>
    <t>Domov Sluneční dvůr Jestřebí 126</t>
  </si>
  <si>
    <t>Služby sociální péče TEREZA, Benešov u Semil</t>
  </si>
  <si>
    <t>Domov důchodců Sloup v Čechách</t>
  </si>
  <si>
    <t>Domov důchodců Rokytnice nad Jizerou, Dolní 291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</si>
  <si>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</si>
  <si>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</si>
  <si>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</si>
  <si>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</si>
  <si>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</si>
  <si>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Liberec-Františkov</t>
  </si>
  <si>
    <t>Domov a centrum aktivity Hodkovice nad Mohelkou</t>
  </si>
  <si>
    <t>Domov a centrum denních služeb Jablonec nad Nisou</t>
  </si>
  <si>
    <t>Dětské centrum Liberec</t>
  </si>
  <si>
    <t>příspěvkové organizace v resortu sociálních věcí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</si>
  <si>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sociálních věcí</t>
    </r>
  </si>
  <si>
    <t xml:space="preserve">Krajská správa silnic Libereckého kraje, Liberec 6, České mládeže 632/32 </t>
  </si>
  <si>
    <t>příspěvkové organizace v resortu dopravy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</si>
  <si>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dopravy</t>
    </r>
  </si>
  <si>
    <t>Krajská vědecká knihovna Liberec, Rumjancevova 1362/1</t>
  </si>
  <si>
    <t xml:space="preserve">Severočeské muzeum Liberec, Masarykova 11 </t>
  </si>
  <si>
    <t>Oblastní galerie Liberec, U Tiskárny 1</t>
  </si>
  <si>
    <t>Vlastivědné muzeum a galerie v České Lípě, nám. Osvobození 297</t>
  </si>
  <si>
    <t>Muzeum Českého ráje v Turnově</t>
  </si>
  <si>
    <t>příspěvkové organizace v resortu kultury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</si>
  <si>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kultury</t>
    </r>
  </si>
  <si>
    <t>Středisko ekologické výchovy LK, Oldřichov v Hájích 5</t>
  </si>
  <si>
    <t>příspěvkové organizace v resortu životního prostředí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</si>
  <si>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životního prostředí</t>
    </r>
  </si>
  <si>
    <t>Léčebna respiračních nemocí Cvikov</t>
  </si>
  <si>
    <t>Zdravotnická záchranná služba LK</t>
  </si>
  <si>
    <t>příspěvkové organizace v resortu zdravotnictví celkem</t>
  </si>
  <si>
    <t>příspěvkové organizace zřízené krajem celkem</t>
  </si>
  <si>
    <r>
      <t xml:space="preserve">procentní podíl přídělů do fondů z celkového hospodářského výsledku všech PO* </t>
    </r>
    <r>
      <rPr>
        <b/>
        <sz val="9"/>
        <rFont val="Arial"/>
        <family val="2"/>
        <charset val="238"/>
      </rPr>
      <t>(%)</t>
    </r>
  </si>
  <si>
    <t>krytí ztráty  v Kč</t>
  </si>
  <si>
    <t>na vrub zůst. rezerv.fondu</t>
  </si>
  <si>
    <t>z rozpočtu zřizovatele</t>
  </si>
  <si>
    <t>Střední škola řemesel a služeb, Jablonec nad Nisou, Smetanova 66</t>
  </si>
  <si>
    <t>Domov Raspenava</t>
  </si>
  <si>
    <t>APOSS Liberec</t>
  </si>
  <si>
    <r>
      <t xml:space="preserve">procentní podíl podle způsobu úhrady ztráty </t>
    </r>
    <r>
      <rPr>
        <b/>
        <sz val="9"/>
        <rFont val="Arial"/>
        <family val="2"/>
        <charset val="238"/>
      </rPr>
      <t>(%)</t>
    </r>
  </si>
  <si>
    <t>LIBERECKÝ KRAJ</t>
  </si>
  <si>
    <t xml:space="preserve">10/1 </t>
  </si>
  <si>
    <t>Zastupitelstvo</t>
  </si>
  <si>
    <t>odměny včetně pojistného (uvolnění a neuvol. členové zast. LK)</t>
  </si>
  <si>
    <t>Krajský úřad</t>
  </si>
  <si>
    <t>Účelové příspěvky PO</t>
  </si>
  <si>
    <t>v resortu školství</t>
  </si>
  <si>
    <t>v resortu kultury</t>
  </si>
  <si>
    <t>Příspěvkové organizace kraje</t>
  </si>
  <si>
    <t>v resortu životního prostředí</t>
  </si>
  <si>
    <t xml:space="preserve">odbor školství, mládeže, tělovýchovy a sportu </t>
  </si>
  <si>
    <t xml:space="preserve">odbor právní </t>
  </si>
  <si>
    <t>Účelové neinvestiční dotace - školství</t>
  </si>
  <si>
    <t>Transfery</t>
  </si>
  <si>
    <t>Pokladní správa</t>
  </si>
  <si>
    <t>finanční rezervy kraje</t>
  </si>
  <si>
    <t>Spolufinancování EU</t>
  </si>
  <si>
    <t>Úvěry</t>
  </si>
  <si>
    <t xml:space="preserve">Sociální fond </t>
  </si>
  <si>
    <t>Dotační fond kraje</t>
  </si>
  <si>
    <t>Krizový fond kraje</t>
  </si>
  <si>
    <t>Fond ochrany vod kraje</t>
  </si>
  <si>
    <t>Kapitola 304 - Úřad vlády</t>
  </si>
  <si>
    <t>p.č.</t>
  </si>
  <si>
    <t>úč.zn.</t>
  </si>
  <si>
    <t>účel dotace (v Kč)</t>
  </si>
  <si>
    <t>poskytnuto</t>
  </si>
  <si>
    <t>čerpáno</t>
  </si>
  <si>
    <t>nečerpáno</t>
  </si>
  <si>
    <t>04001</t>
  </si>
  <si>
    <t>Podpora koord.romských poradců</t>
  </si>
  <si>
    <t>úřad vlády celkem</t>
  </si>
  <si>
    <t>Kapitola 313 - Ministerstvo práce a sociálních věcí</t>
  </si>
  <si>
    <t>Výkon sociální péče</t>
  </si>
  <si>
    <t>Přísp.pro děti vyžadující okamžitou péči</t>
  </si>
  <si>
    <t>ministerstvo práce a sociálních věcí celkem</t>
  </si>
  <si>
    <t>Kapitola 327 - Ministerstvo dopravy</t>
  </si>
  <si>
    <t>ministerstvo dopravy celkem</t>
  </si>
  <si>
    <t>Kapitola 333 - Ministerstvo školství a mládeže</t>
  </si>
  <si>
    <t>Soutěže a přehlídky</t>
  </si>
  <si>
    <t>Přímé náklady na vzdělávání</t>
  </si>
  <si>
    <t>ministerstvo školství a mládeže celkem</t>
  </si>
  <si>
    <t>Pozn. Ve sloupci nečerpáno jsou vykázány prostředky, které byly skutečně vráceny v rámci finančního vypořádání zpět poskytovatelům</t>
  </si>
  <si>
    <t>Kapitola 334 - Ministerstvo kultury</t>
  </si>
  <si>
    <t>Dotace na kulturní aktivity</t>
  </si>
  <si>
    <t>ministerstvo kultury celkem</t>
  </si>
  <si>
    <t>Kapitola 335 - Ministerstvo zdravotnictví</t>
  </si>
  <si>
    <t>Kapitola 398 - Všeobecná pokladní správa</t>
  </si>
  <si>
    <t>všeobecná pokladní správa celkem</t>
  </si>
  <si>
    <t>účelové neinvestiční dotace</t>
  </si>
  <si>
    <t>kap</t>
  </si>
  <si>
    <t>název</t>
  </si>
  <si>
    <t>souhrn dotací (v Kč)</t>
  </si>
  <si>
    <t>ÚV</t>
  </si>
  <si>
    <t>úřad vlády</t>
  </si>
  <si>
    <t>ministerstvo školství a mládeže</t>
  </si>
  <si>
    <t xml:space="preserve">poskytovatelé dotací </t>
  </si>
  <si>
    <t>účelové investiční dotace</t>
  </si>
  <si>
    <t>účelové dotace celkem</t>
  </si>
  <si>
    <t>k vypořádání v následujících rozpočtových obdobích  po skončení realizace projektu, resp. zpětné proplacení</t>
  </si>
  <si>
    <t>OP zaměstnanost-CZ,neinv.</t>
  </si>
  <si>
    <t>OP zaměstnanost-EU,neinv.</t>
  </si>
  <si>
    <t>OP potravinové a materiální pomoci-CZ,neinv.</t>
  </si>
  <si>
    <t>OP potravinové a materiální pomoci-EU,neinv.</t>
  </si>
  <si>
    <t>Kapitola 315 - Ministerstvo životního prostředí</t>
  </si>
  <si>
    <t>OPŽP-program č. 115 310- EU,neinv.</t>
  </si>
  <si>
    <t>OPŽP-program č. 115 310- EU,inv.</t>
  </si>
  <si>
    <t>ministerstvo životního prostředí celkem</t>
  </si>
  <si>
    <t>Kapitola 317 - Ministerstvo pro místní rozvoj</t>
  </si>
  <si>
    <t>OP TP - CZ, neinv.</t>
  </si>
  <si>
    <t>OP TP - EU, neinv.</t>
  </si>
  <si>
    <t>OP PS - CZ, neinv.</t>
  </si>
  <si>
    <t>ministerstvo pro místní rozvoj celkem</t>
  </si>
  <si>
    <t>OP VVV P 03 - CZ, neinv.</t>
  </si>
  <si>
    <t>OP VVV P 03 - EU, neinv.</t>
  </si>
  <si>
    <t>1</t>
  </si>
  <si>
    <t>souhrn dotací</t>
  </si>
  <si>
    <t>ministerstvo pro místní rozvoj</t>
  </si>
  <si>
    <t>příjmy z pronájmu ostat. nemovitostí a jejich částí</t>
  </si>
  <si>
    <t>Č. řádku</t>
  </si>
  <si>
    <t>schváleno dne</t>
  </si>
  <si>
    <t>4/3</t>
  </si>
  <si>
    <t>úprava ukazatelů v kap. 92014</t>
  </si>
  <si>
    <t>4/4</t>
  </si>
  <si>
    <t>4/5</t>
  </si>
  <si>
    <t>4/6</t>
  </si>
  <si>
    <t>4/7</t>
  </si>
  <si>
    <t>dotace z MMR, zapojení do kap. 92304</t>
  </si>
  <si>
    <t>4/8</t>
  </si>
  <si>
    <t>4/9</t>
  </si>
  <si>
    <t>4/10</t>
  </si>
  <si>
    <t>dotace z MMR, zapojení do kap. 92307</t>
  </si>
  <si>
    <t>tis. Kč</t>
  </si>
  <si>
    <t>poplatky a odvody v oblasti životního prostředí</t>
  </si>
  <si>
    <t>NF</t>
  </si>
  <si>
    <t>Integrovaný regionální operační program (IROP) 2014+</t>
  </si>
  <si>
    <t>TP ČR - SASKO 2014-2020</t>
  </si>
  <si>
    <t>TP ČR - POLSKO 2014-2020</t>
  </si>
  <si>
    <t>Operační program Životní prostředí (OP ŽP) 2014+</t>
  </si>
  <si>
    <t>Operační program Zaměstnanost 2014+</t>
  </si>
  <si>
    <t>Gymnázium a Obchodní akademie, Tanvald, Školní 305</t>
  </si>
  <si>
    <t>Gymnázium Dr. A. Randy, Jablonec nad Nisou</t>
  </si>
  <si>
    <t xml:space="preserve">Střední škola a Mateřská škola, Liberec, Na Bojišti 15 </t>
  </si>
  <si>
    <t>Pedagogicko-psychologická poradna a speciálně pedagogické centrum, Semily, Nádražní 213</t>
  </si>
  <si>
    <t>OSTARA</t>
  </si>
  <si>
    <t>7.6 Podpora cestovního ruchu</t>
  </si>
  <si>
    <t>8.4 Podpora dlouhodobé práce s mládeží v obl. ŽP a zemědělství</t>
  </si>
  <si>
    <t>8.5 Podpora předcházení vzniku odpadů</t>
  </si>
  <si>
    <t>zásobov. pit.vodou a odkanaliz. v obl. Turów-rezerva</t>
  </si>
  <si>
    <t>zásobov. pit.vodou a odkanaliz. v obl. Turów-akce</t>
  </si>
  <si>
    <t>v resortu kancelář ředitele</t>
  </si>
  <si>
    <t>ministerstvo zdravotnictví celkem</t>
  </si>
  <si>
    <t>IROP – program č. 117030 – CZ – inv.</t>
  </si>
  <si>
    <t>IROP – program č. 117030 – EU – inv.</t>
  </si>
  <si>
    <t>Národní fond</t>
  </si>
  <si>
    <t>Národní fond celkem</t>
  </si>
  <si>
    <t>Mezinárodní instituce</t>
  </si>
  <si>
    <t>Program přeshraniční spolupráce ČR-Sasko-EU-neinv.</t>
  </si>
  <si>
    <t>mezinárodní instituce celkem</t>
  </si>
  <si>
    <t>mezinárodní instituce</t>
  </si>
  <si>
    <t>Transfery RRR SV-nezpůsobilé výdaje-neinv.</t>
  </si>
  <si>
    <t>Disponibilní zdroje určené k zapojení</t>
  </si>
  <si>
    <t>Lesnický fond kraje</t>
  </si>
  <si>
    <r>
      <t>Úvěr na</t>
    </r>
    <r>
      <rPr>
        <b/>
        <sz val="9"/>
        <rFont val="Arial"/>
        <family val="2"/>
        <charset val="238"/>
      </rPr>
      <t xml:space="preserve"> Revitalizaci pozemních komunikací</t>
    </r>
    <r>
      <rPr>
        <sz val="9"/>
        <rFont val="Arial"/>
        <family val="2"/>
        <charset val="238"/>
      </rPr>
      <t xml:space="preserve"> na území LK *</t>
    </r>
    <r>
      <rPr>
        <b/>
        <sz val="9"/>
        <rFont val="Arial"/>
        <family val="2"/>
        <charset val="238"/>
      </rPr>
      <t>- splátka úroků</t>
    </r>
  </si>
  <si>
    <r>
      <t xml:space="preserve">Úvěr na </t>
    </r>
    <r>
      <rPr>
        <b/>
        <sz val="9"/>
        <rFont val="Arial"/>
        <family val="2"/>
        <charset val="238"/>
      </rPr>
      <t xml:space="preserve">Komplexní revitalizaci mostů na silnicích II. a III. tř. </t>
    </r>
    <r>
      <rPr>
        <sz val="9"/>
        <rFont val="Arial"/>
        <family val="2"/>
        <charset val="238"/>
      </rPr>
      <t xml:space="preserve">na území LK </t>
    </r>
    <r>
      <rPr>
        <b/>
        <sz val="9"/>
        <rFont val="Arial"/>
        <family val="2"/>
        <charset val="238"/>
      </rPr>
      <t xml:space="preserve">** - splátka úroků </t>
    </r>
  </si>
  <si>
    <t>Kapitálové výdaje</t>
  </si>
  <si>
    <t xml:space="preserve">Působnosti kraje </t>
  </si>
  <si>
    <t>PŘEHLED</t>
  </si>
  <si>
    <t>Č. ř.</t>
  </si>
  <si>
    <t>Skutečný stav v Kč</t>
  </si>
  <si>
    <t>Účetní stav v Kč</t>
  </si>
  <si>
    <t>Rozdíl v Kč</t>
  </si>
  <si>
    <t>Poskytnuté zálohy na DHM</t>
  </si>
  <si>
    <t>052</t>
  </si>
  <si>
    <t>Ostatní DFM</t>
  </si>
  <si>
    <t>069</t>
  </si>
  <si>
    <t>Oprávky ke SHMV a souborům HMV</t>
  </si>
  <si>
    <t>Opravné položky k jiným pohledávkám z hl. činnosti</t>
  </si>
  <si>
    <t>Pokladna</t>
  </si>
  <si>
    <t>261</t>
  </si>
  <si>
    <t>1.3 Dotace obcím na činnost JPO II k programu MV ČR</t>
  </si>
  <si>
    <t>1.4 Prevence kriminality</t>
  </si>
  <si>
    <t>resort sociálních věcí</t>
  </si>
  <si>
    <t>5.2 Podpora rozvoje sociálních služeb</t>
  </si>
  <si>
    <t>splátky úvěrů na revitalizaci mostů a pozem.komunikací</t>
  </si>
  <si>
    <t>resorty</t>
  </si>
  <si>
    <t>přesun z kap. 92303 do kap. 92314</t>
  </si>
  <si>
    <t>přesun z kap. 91709 do kap. 92009</t>
  </si>
  <si>
    <t>přesun z kap. 92005 do kap. 92014</t>
  </si>
  <si>
    <t>investiční přijaté transfery ze zahraničí</t>
  </si>
  <si>
    <t>investiční přijaté transfery od mezinár.institucí</t>
  </si>
  <si>
    <t>MV</t>
  </si>
  <si>
    <t>Úřad vlády</t>
  </si>
  <si>
    <t xml:space="preserve">Působnosti </t>
  </si>
  <si>
    <t>Kapitola 314 - Ministerstvo vnitra</t>
  </si>
  <si>
    <t>14032</t>
  </si>
  <si>
    <t>MV-Program prev.krim.na místní úrovni</t>
  </si>
  <si>
    <t xml:space="preserve"> rekapitulace účelové neinvestiční a investiční dotace</t>
  </si>
  <si>
    <t>ministerstvo vnitra</t>
  </si>
  <si>
    <t>IROP – program č. 117030 – CZ – neinv.</t>
  </si>
  <si>
    <t>IROP – program č. 117030 – EU – neinv.</t>
  </si>
  <si>
    <t>Státní fond dopravní infrastruktury celkem</t>
  </si>
  <si>
    <t>2</t>
  </si>
  <si>
    <t>Financování dopravní infrastruktury - neinvestice</t>
  </si>
  <si>
    <t>Financování dopravní infrastruktury - investice</t>
  </si>
  <si>
    <t>Státní fond životního prostředí</t>
  </si>
  <si>
    <t>Státní fond životního prostředí celkem</t>
  </si>
  <si>
    <t>Program přeshranič. spolupráce ČR–Polsko–EU,neinv.</t>
  </si>
  <si>
    <t>Program přeshraniční spolupráce ČR-Sasko-EU-inv.</t>
  </si>
  <si>
    <t>budoucí HV/  nerozdělený HV</t>
  </si>
  <si>
    <t>ministerstvo vnitra celkem</t>
  </si>
  <si>
    <t>druh</t>
  </si>
  <si>
    <t>Ostatní dlouhodobá podmíněná pasiva</t>
  </si>
  <si>
    <t>CELKEM POK  účetní stav</t>
  </si>
  <si>
    <t>Doprava  skutečný stav</t>
  </si>
  <si>
    <t xml:space="preserve">Školství  skutečný stav </t>
  </si>
  <si>
    <t>digitální mapy veřejné správy</t>
  </si>
  <si>
    <t xml:space="preserve"> Jmenovitý seznam akcí spolufinancovaných z prostředků EU                                                                                        (včetně spolufinancování Libereckého kraje)</t>
  </si>
  <si>
    <t>Programy přeshraniční spolupráce (PPS) 2014+</t>
  </si>
  <si>
    <t>Jiné EU 2014+:</t>
  </si>
  <si>
    <t>úprava ukazatelů v kap. 91701 - poskytnutí daru</t>
  </si>
  <si>
    <t>dotace z MMR, zapojení do kap. 92309</t>
  </si>
  <si>
    <t>poskytnutí individ.dotací z kap. 91705</t>
  </si>
  <si>
    <t>poskytnutí individ.dotací z kap. 91704</t>
  </si>
  <si>
    <t>poskytnutí individ.dotací z kap. 91701</t>
  </si>
  <si>
    <t>přesun z kap. 92006 do kap. 91706</t>
  </si>
  <si>
    <t>dotace z MZe, zapojení do kap. 91704</t>
  </si>
  <si>
    <t>poskytnutí individ.dotace z kap. 91701</t>
  </si>
  <si>
    <t>poskytnutí dotací z kap. 92302 - Kotlíkové dotace III.</t>
  </si>
  <si>
    <t>MZe</t>
  </si>
  <si>
    <t>Zvýšená ochr. veř.prostr.a objektů VS</t>
  </si>
  <si>
    <t>Podp.vých.vzděl.aktivit v muzejnictví</t>
  </si>
  <si>
    <t>Podp.expoz.a výst.projektů</t>
  </si>
  <si>
    <t>Veř.inf. služby knih.-neinv.</t>
  </si>
  <si>
    <t>Náhr.škod způs.vybr.chrán.živočichy</t>
  </si>
  <si>
    <t>5.1 Podpora integrace národnostních menšin a cizinců</t>
  </si>
  <si>
    <t>8.6 podpora retence vody v krajině</t>
  </si>
  <si>
    <t xml:space="preserve">dary, vratky dotací a sankční platby </t>
  </si>
  <si>
    <t>DHM ostatní</t>
  </si>
  <si>
    <t>965</t>
  </si>
  <si>
    <t>poplatky za znečišťování ovzduší</t>
  </si>
  <si>
    <t>příjmy z fin.vypořádání milulých let mezi krajem a obcemi</t>
  </si>
  <si>
    <t xml:space="preserve">investiční přijaté transfery od obcí </t>
  </si>
  <si>
    <t>Opravné položky k peněžním operacím nemající charakter příjmů a výdajů</t>
  </si>
  <si>
    <t xml:space="preserve">v tis. Kč </t>
  </si>
  <si>
    <t>20</t>
  </si>
  <si>
    <t>poskytnutí individ.dotace z kap. 91702</t>
  </si>
  <si>
    <t>přesun z kap. 92004 do kap. 92014</t>
  </si>
  <si>
    <t>dotace ze SFDI, zapojení do kap. 91706</t>
  </si>
  <si>
    <t>přesun z kap. 91406 do kap. 91706</t>
  </si>
  <si>
    <t>dotace ze SFDI, zapojení do kap. 92006</t>
  </si>
  <si>
    <t>poskytnutí individ.dotace z kap. 91705</t>
  </si>
  <si>
    <t>poskytnutí individuálních dotací z kap. 91706</t>
  </si>
  <si>
    <t>úprava ukazatelů v kap. 91405</t>
  </si>
  <si>
    <t>přijatá dotace ze státního rozpočtu</t>
  </si>
  <si>
    <t>přijaté dary - převod ze sbírky</t>
  </si>
  <si>
    <t>7.7 Podpora cestovního ruchu v turistických oblastech</t>
  </si>
  <si>
    <t>7.8 Podpora infocenter</t>
  </si>
  <si>
    <t>7.9 Podpora nadregionálních témat a produktů CR</t>
  </si>
  <si>
    <t>oddělení veřejných zakázek</t>
  </si>
  <si>
    <t>Účelové investiční dotace - školství</t>
  </si>
  <si>
    <t>Podpora poskytovatelů soc.služeb</t>
  </si>
  <si>
    <t>Sociální služby-řešení naléhavých potřeb</t>
  </si>
  <si>
    <t>Ochr.kult.statků před nepřízn.vlivy</t>
  </si>
  <si>
    <t>Krizové situace 2020 (mimo povodní)</t>
  </si>
  <si>
    <t>OPŽP-program č. 115 280 NZÚ- EU,inv.</t>
  </si>
  <si>
    <t>OP VVV P 02 - EU, neinv.</t>
  </si>
  <si>
    <t>Kapitola 329 - Ministerstvo zemědělství</t>
  </si>
  <si>
    <t>ministerstvo zemědělství</t>
  </si>
  <si>
    <t>COV - progr. 129710, inv.</t>
  </si>
  <si>
    <t>OP VVV P 03 - CZ, inv.</t>
  </si>
  <si>
    <t>OP VVV P 03 - EU, inv.</t>
  </si>
  <si>
    <t>Mze</t>
  </si>
  <si>
    <t xml:space="preserve">6/1 </t>
  </si>
  <si>
    <t xml:space="preserve">6/2 </t>
  </si>
  <si>
    <t>7/1</t>
  </si>
  <si>
    <t>7/2</t>
  </si>
  <si>
    <t>7/3</t>
  </si>
  <si>
    <t>7/4</t>
  </si>
  <si>
    <t>7/5</t>
  </si>
  <si>
    <t>8</t>
  </si>
  <si>
    <t xml:space="preserve">9/2 </t>
  </si>
  <si>
    <t xml:space="preserve">9/1 </t>
  </si>
  <si>
    <t xml:space="preserve">10/2  </t>
  </si>
  <si>
    <t xml:space="preserve">10/3  </t>
  </si>
  <si>
    <t xml:space="preserve">11/1 </t>
  </si>
  <si>
    <t xml:space="preserve">11/2  </t>
  </si>
  <si>
    <t xml:space="preserve">11/3  </t>
  </si>
  <si>
    <t>14/3</t>
  </si>
  <si>
    <t>14/2</t>
  </si>
  <si>
    <t>14/1</t>
  </si>
  <si>
    <t>18/1</t>
  </si>
  <si>
    <t>18/2</t>
  </si>
  <si>
    <t>tabulková část</t>
  </si>
  <si>
    <t>ostatní přijaté transfery od rozp. územní úrovně</t>
  </si>
  <si>
    <t>předpoklad k 31. 12. 2022</t>
  </si>
  <si>
    <t>předpoklad k 31. 12. 2023</t>
  </si>
  <si>
    <t>předpoklad k 31. 12. 2024</t>
  </si>
  <si>
    <t>předpokad k 31. 12. 2025</t>
  </si>
  <si>
    <r>
      <rPr>
        <sz val="8"/>
        <color indexed="10"/>
        <rFont val="Arial"/>
        <family val="2"/>
        <charset val="238"/>
      </rPr>
      <t>**</t>
    </r>
    <r>
      <rPr>
        <sz val="8"/>
        <rFont val="Arial"/>
        <family val="2"/>
        <charset val="238"/>
      </rPr>
      <t xml:space="preserve"> k 30.6.2016 realizována mimořádná úhrada spláky ve výši 50 000 tis. Kč a k 30.9.2018 realizována 2. mimořádná úhrada splátky ve výši  50 000 tis. Kč </t>
    </r>
  </si>
  <si>
    <t>Digitální technická mapa</t>
  </si>
  <si>
    <t>Návratné finanční výpomoci</t>
  </si>
  <si>
    <t>Restaurování historických artefaktů kulturního dědictví Muzea Českého ráje v Turnově  -  předfinancování EU - krajem poskytnutá NFV</t>
  </si>
  <si>
    <t>Modernizace KNL - Etapa č. 1 - úvěr (tranže úvěru dle návrhu Deloitte)</t>
  </si>
  <si>
    <t>Modernizace KNL - Etapa č. 1 - roční splátka jistiny úvěru (od roku 2026)</t>
  </si>
  <si>
    <t>Bilance příjmů schváleného rozpočtu kraje na rok 2021</t>
  </si>
  <si>
    <t>Příjmy 2021</t>
  </si>
  <si>
    <t>ostatní daňové příjmy - poplatek za odebrané množství podzemní vody</t>
  </si>
  <si>
    <t>ostatní daňové příjmy - poplatky za znečišťování ovzduší</t>
  </si>
  <si>
    <t>Zdroje schváleného rozpočtu kraje 2021 celkem</t>
  </si>
  <si>
    <t>SCHVÁLENÝ ROZPOČET LIBERECKÉHO KRAJE NA ROK 2021</t>
  </si>
  <si>
    <t>ZÁVĚREČNÝ ÚČET 2021</t>
  </si>
  <si>
    <t>Schválený rozpočet příjmů Libereckého kraje na rok 2021</t>
  </si>
  <si>
    <t>zapojení disponibilních prostředků předchozích období</t>
  </si>
  <si>
    <t>odbor kultury, památkové péče a CR</t>
  </si>
  <si>
    <t>rezervy na řešení věcných, fin. a org. opatření orgánů kraje</t>
  </si>
  <si>
    <t>rezervy pro ostatní zbývající programy</t>
  </si>
  <si>
    <t>Bilance výdajů schváleného rozpočtu kraje na rok 2021</t>
  </si>
  <si>
    <t>Výdaje 2021</t>
  </si>
  <si>
    <t>Významné akce</t>
  </si>
  <si>
    <t>Výdaje schváleného rozpočtu kraje 2021 celkem bez financování</t>
  </si>
  <si>
    <t>Výdaje schváleného rozpočtu kraje 2021 celkem včetně financování</t>
  </si>
  <si>
    <t>Běžné a kapitálové příjmy kraje 2021</t>
  </si>
  <si>
    <t>BILANCE ROZPISU ROZPOČTU KRAJE 2021</t>
  </si>
  <si>
    <t>Liberecký kraj 2021</t>
  </si>
  <si>
    <t>Běžné a kapitálové výdaje kraje 2021</t>
  </si>
  <si>
    <t>významné akce</t>
  </si>
  <si>
    <t>dotační fond - rezerva pro programy</t>
  </si>
  <si>
    <t>Schválený rozpočet výdajů Libereckého kraje na rok 2021</t>
  </si>
  <si>
    <t>Bilance rozpisu rozpočtu kraje 2021 - příjmy a výdaje</t>
  </si>
  <si>
    <t>v resorrtu životního prostředí a zemědělství</t>
  </si>
  <si>
    <t>odbor dopravy/odbor silničního hospodářství</t>
  </si>
  <si>
    <t>odbor dopravní oblsužnosti</t>
  </si>
  <si>
    <t>UPRAVENÝ ROZPOČET LIBERECKÉHO KRAJE NA ROK 2021</t>
  </si>
  <si>
    <t>Čerpání výdajů kapitol upraveného rozpočtu kraje 2021</t>
  </si>
  <si>
    <t>Výdaje kraje 2021 celkem</t>
  </si>
  <si>
    <t>Operační program Podnikání a inovace  pro konkurenceschopnost (OP PIK) 2014+</t>
  </si>
  <si>
    <t>Smart akcelerátor LK II</t>
  </si>
  <si>
    <t>ARR - účelová dotace SALK II</t>
  </si>
  <si>
    <t>SALK II-AV-TUL Teaming</t>
  </si>
  <si>
    <t>SALK II-AV-TUL Networking</t>
  </si>
  <si>
    <t>SALK II-AV-TUL Int.materiály</t>
  </si>
  <si>
    <t>SALK II-AV-TUL Water</t>
  </si>
  <si>
    <t>Strateg.plánování rozvoje vzdělávací soust.LK</t>
  </si>
  <si>
    <t>Naplňování krajského akčního plánuLK I(NAKAP LK I)</t>
  </si>
  <si>
    <t>NAKAP LK I SPŠS Liberec</t>
  </si>
  <si>
    <t>NAKAP LK I SPŠSE,VOŠ Liberec</t>
  </si>
  <si>
    <t>NAKAP LK I SUPS Železný Brod</t>
  </si>
  <si>
    <t>KVK v Libereci,PO-neinv.plata-vyúčtování</t>
  </si>
  <si>
    <t>OPVVV-NAKAP LK II</t>
  </si>
  <si>
    <t>NAKAP LK II - P03_GCL - Gymnázium Česká Lípa, Žita</t>
  </si>
  <si>
    <t>NAKAP LK II - P01_GBAL - Gymnázium, Jablonec nad N</t>
  </si>
  <si>
    <t>NAKAP LK II - P05_GTAN - Gymnázium, Tanvald</t>
  </si>
  <si>
    <t>NAKAP II P37_GIOS-Gymnázium I.Olbrachta,Semily-KA7</t>
  </si>
  <si>
    <t>NAKAP LK II - P26_GTUR - Gymnázium, Turnov, Jana P</t>
  </si>
  <si>
    <t>NAKAP II P40_GARJB -Gymnázium Dr. A Randy Jbc KA7</t>
  </si>
  <si>
    <t>NAKAP LK II - P02_GJIL - Gymnázium, SOŠ,SZŠ Jilemn</t>
  </si>
  <si>
    <t>NAKAP LK II - P04_OACL - Obchodní akademie, Česká</t>
  </si>
  <si>
    <t>NAKAP II-P36_VOSMOA-Jablonec n.N,Horní nám.(KA7)</t>
  </si>
  <si>
    <t>NAKAP II-P38_OAJS,Liberec,Šamánkova-(KA7)</t>
  </si>
  <si>
    <t>NAKAP LK II - P06_SPSCL - Střední průmyslová škola</t>
  </si>
  <si>
    <t>NAKAP LK II - P07_SPSS - Střední průmyslová škola</t>
  </si>
  <si>
    <t>NAKAP LK II - P08_SPSSE - Střední průmyslová škola</t>
  </si>
  <si>
    <t>NAKAP LK II - P09_SPSTLI - Střední průmyslová škol</t>
  </si>
  <si>
    <t>NAKAP LK II - P19_SSNB - Vyšší odborná škola sklář</t>
  </si>
  <si>
    <t>NAKAP LK II - P20_SUPSKS -  Kamenický Šenov, Havlí</t>
  </si>
  <si>
    <t>NAKAP LK II - P21_SUPSJB - Jablonec nad Nisou, Hor</t>
  </si>
  <si>
    <t>NAKAP LK II - P22_SUPSZB -  Železný Brod, Smetanov</t>
  </si>
  <si>
    <t>NAKAP LK II - P23_SUPSTU Turnov, Skálova 373</t>
  </si>
  <si>
    <t>NAKAP II P39_SZSLB-SZŠ a VOŠ, Liberec  - KA7 - ŠAB</t>
  </si>
  <si>
    <t>NAKAP LK II - P24_SZSTU - Střední zdravotnická ško</t>
  </si>
  <si>
    <t>NAKAP LK II - P13_SSMS - Střední  škola a Mateřská</t>
  </si>
  <si>
    <t>NAKAP LK II - P11_SSSSD - Střední škola strojní, s</t>
  </si>
  <si>
    <t>NAKAP LK II - P17_ISSSE - Střední škola, Semily</t>
  </si>
  <si>
    <t>NAKAP LK II - P18_ISSVJ - Integrovaná střední škol</t>
  </si>
  <si>
    <t>NAKAP LK II - P15_SOSSOU - Střední zdravotnická šk</t>
  </si>
  <si>
    <t>NAKAP LK II - P10_SPSTJB - Střední průmyslová škol</t>
  </si>
  <si>
    <t>NAKAP LK II - P12_SSRSJB - Střední škola řemesel a</t>
  </si>
  <si>
    <t>NAKAP LK II - P25_SSGS - Střední škola gastronomie</t>
  </si>
  <si>
    <t>NAKAP LK II - P14_SSHL - Střední škola hospodářská</t>
  </si>
  <si>
    <t>NAKAP LK II - P16_SOSLI - Střední odborná škola, L</t>
  </si>
  <si>
    <t>NAKAP LK II - P29_PPPCL - Pedagogicko-psychologick</t>
  </si>
  <si>
    <t>NAKAP LK II - P28_PPPJB - Pedagogicko-psychologick</t>
  </si>
  <si>
    <t>NAKAP LK II - P27_PPPLB - Pedagogicko-psychologick</t>
  </si>
  <si>
    <t>NAKAP LK II - P30_PPPSE - Pedagogicko-psychologick</t>
  </si>
  <si>
    <t>NAKAP II-P48_WZSSS-Walsdorf.Semily-ŠABLONY (KA7)</t>
  </si>
  <si>
    <t>NAKAP II-P45_DOCTRINA-Podj.gymn.-ŠABLONY(KA7)</t>
  </si>
  <si>
    <t>NAKAP II P43_SSDIKLB-SŠdesignu interiéru Kateř.KA7</t>
  </si>
  <si>
    <t>NAKAP LK II-P47_SSPPA-Střední škola právní-KA7</t>
  </si>
  <si>
    <t>NAKAP II P44_SSODKLB-SŠ oděv.designu Kateřinky KA7</t>
  </si>
  <si>
    <t>NAKAP II P42_SSKLB- SŠ Kateřinky-Liberec s.r.o.KA7</t>
  </si>
  <si>
    <t>NAKAP II P41_SSKLIC - Střední škola Klíč s.r.o.KA7</t>
  </si>
  <si>
    <t>NAKAP II P46_EURCL-Euroškola ČL SOŠ s.r.o.-KA7 - Š</t>
  </si>
  <si>
    <t>NAKAP LK II - P33_TUL - Technická univerzita v Lib</t>
  </si>
  <si>
    <t>OPVVV-Strateg.plán.rozvoje vzděl.soust.-KAP II.</t>
  </si>
  <si>
    <t>Systémová podpora práce s rodinou</t>
  </si>
  <si>
    <t>OPŽP-SEN SŠ Lomnice n. Pop.</t>
  </si>
  <si>
    <t>OPŽP - zeleň SHŠL Hejnice</t>
  </si>
  <si>
    <t>OPŽP-SEN-jídelna,tělocvična SŠHL Frýdlant</t>
  </si>
  <si>
    <t>OPŽP SEN-ZŠ speciální Semily</t>
  </si>
  <si>
    <t>OPŽP SEN-domoc mládeže SUPŠS Kam.Šenov</t>
  </si>
  <si>
    <t>OPŽP 1.3.2-hospodaření s vodou v OAČL</t>
  </si>
  <si>
    <t>SPŠ textilní,Liberec-OPŽP-SEN budovy dílny</t>
  </si>
  <si>
    <t>OPŽP-SEN jídelna,tělocvična SŠHL Frýdlant rekupera</t>
  </si>
  <si>
    <t>OPŽP SEN-ZŠ spec.Semily rekuperace</t>
  </si>
  <si>
    <t>OPŽP - SEN domov pro seniory Vratislavice</t>
  </si>
  <si>
    <t>OPŽP - zeleň DDŮ Jindřichovice</t>
  </si>
  <si>
    <t>OPŽP - zeleň DDŮ Sloup</t>
  </si>
  <si>
    <t>OPŽP - zeleň DDŮ Františkov LBC</t>
  </si>
  <si>
    <t>OPŽP-SEN domov pro seniory Vratislavice rekuperace</t>
  </si>
  <si>
    <t>OPŽP-SEN Vlastivědné muzeum ČL</t>
  </si>
  <si>
    <t>OPŽP Valteřická alej,Zámecká alej,Stvolínky</t>
  </si>
  <si>
    <t>OPŽP-Podpora kuňky Stružnické ryb.</t>
  </si>
  <si>
    <t>OPŽP-Podpora kuňky Dolní Ploučnice</t>
  </si>
  <si>
    <t>OPŽP-Biotop pro ropuchu Žízníkov</t>
  </si>
  <si>
    <t>OPŽP-SEN LRN Martin.údolí Cvikov</t>
  </si>
  <si>
    <t>Kotlíková dotace - II.etapa - NIV</t>
  </si>
  <si>
    <t>Kotlíková dotace - II etapa - IV</t>
  </si>
  <si>
    <t>Kotlíkové dotace III.</t>
  </si>
  <si>
    <t>Kotlíkové dotace III - NIV</t>
  </si>
  <si>
    <t>OP ŽP- Kotlíkové dotace III-NZÚ</t>
  </si>
  <si>
    <t>IROP Školy bez bariér-Gymymnázium Jablonec n.N.</t>
  </si>
  <si>
    <t>IROP-Školy bez bariér-Gym.Dr.A.Randy,Jablonec n.N</t>
  </si>
  <si>
    <t>IROP-Školy bez bariér-Gym  a SOŠpedag.LBC</t>
  </si>
  <si>
    <t>IROP-Školy bez bariér-VOŠ MO a OA,Jablonec n.N.</t>
  </si>
  <si>
    <t>IROP COV řemesel,Jablonec n.N.</t>
  </si>
  <si>
    <t>IROP-Školy bez bariér-SOŠ SPŠ textilní LBC</t>
  </si>
  <si>
    <t>IROP-Školy bez bariér-SOŠ-SŠSSD LBC</t>
  </si>
  <si>
    <t>IROP-Školy bez bariér-SOŠ-SŠ řemesel a služeb Jbc</t>
  </si>
  <si>
    <t>IROP Jedličkův ústav-rekonstrukce III.NP domu B</t>
  </si>
  <si>
    <t>IROP Domov Raspenava-výstavba nových prostor</t>
  </si>
  <si>
    <t>IROP-APOSS-výstavba domácností</t>
  </si>
  <si>
    <t>IROP Transformace-Domov Sluneční dvůr JESTŘEBÍ</t>
  </si>
  <si>
    <t>Jedlič. ústav-pořízení automobilu terén.soc.služby</t>
  </si>
  <si>
    <t>DD Velké Hamry - pořízení automobilu</t>
  </si>
  <si>
    <t>Domoc a CDS Jablonec n.N-pořízení automobilu</t>
  </si>
  <si>
    <t>IROP-II/292 Benešov u Semil</t>
  </si>
  <si>
    <t>IROP-II/262 Česká Lípa-Dobranov</t>
  </si>
  <si>
    <t>IROP-II/2904 Oldřichov v Hájích-humanizace</t>
  </si>
  <si>
    <t>IROP-II/270 Doksy-Dubá</t>
  </si>
  <si>
    <t>IROP-II/268 obchvat Zákupy</t>
  </si>
  <si>
    <t>PD IROP-II/268 Mimoň - hranice LK</t>
  </si>
  <si>
    <t>PD IROP-II/610 Turnov-hranice LK</t>
  </si>
  <si>
    <t>IROP-II/268 Mimoň-hranice LK,2.etapa</t>
  </si>
  <si>
    <t>IROP-Silnice II/290 Sklenařice-Vysoké n. Jizerou</t>
  </si>
  <si>
    <t>IROP-Silnice III/27246 Křižany po křiž.s III/2784</t>
  </si>
  <si>
    <t>IROP-Silnice III/2784 Světlá p.J.-Výpřež,1.et.</t>
  </si>
  <si>
    <t>IROP-Silnice III/2784 Výpřež-Horní Hanychov,2.et.</t>
  </si>
  <si>
    <t>IROP-krajská knihovna</t>
  </si>
  <si>
    <t>IROP - SČ Muzeum LBC - 3. etapa</t>
  </si>
  <si>
    <t>IROP - Záchrana pokladů - SČ Muzeum LBC</t>
  </si>
  <si>
    <t>ZZS LK-Reko a přístavba výjezd.základny ZZS LK Lbc</t>
  </si>
  <si>
    <t>Revitalizace dolního centra Liberce-Parkovací dům</t>
  </si>
  <si>
    <t>Regionální stálá konference LK III</t>
  </si>
  <si>
    <t>Regionální stálá konference LK IV</t>
  </si>
  <si>
    <t>ZZS LK-Jak zachraňujete u vás?</t>
  </si>
  <si>
    <t>OP ČR Sasko (FMP)-Konvent´a</t>
  </si>
  <si>
    <t>Firmičky - SPŠS LBC</t>
  </si>
  <si>
    <t>Firmičky - pro SOŠ LBC</t>
  </si>
  <si>
    <t>Firmičky - SPŠT JBC</t>
  </si>
  <si>
    <t>Firmičky - SZŠ Turnov</t>
  </si>
  <si>
    <t>Kompetence 4.0 - pro VOSMO a OA JBC</t>
  </si>
  <si>
    <t>Kompetence 4.0 pro SPŠSE</t>
  </si>
  <si>
    <t>Interreg V-ALCyklotrasy v PL/CZ pohraničíLII.etap</t>
  </si>
  <si>
    <t>INTERREG V-A - Česko-polská Hřebenovka V.část</t>
  </si>
  <si>
    <t>Cíl 2-Za společným dědictvím na kole i pěšky</t>
  </si>
  <si>
    <t>MČRT-Brána do světa sbírek</t>
  </si>
  <si>
    <t>Potravinová pomoc dětem  v LK 5</t>
  </si>
  <si>
    <t xml:space="preserve"> SR 2021</t>
  </si>
  <si>
    <t>UR 2021</t>
  </si>
  <si>
    <t>Čerpání 2021</t>
  </si>
  <si>
    <t>Potrav.pomoc LK 7_ZŠ, MŠ (celkem 71)</t>
  </si>
  <si>
    <t>SUPŠ Kamenický Šenov - Škola a sklo.inkubátor nacestě doživota</t>
  </si>
  <si>
    <t>NF - Osvětová kampaň: Jak správně topit</t>
  </si>
  <si>
    <t>NF - Osvětová kampaň: Ploučnice</t>
  </si>
  <si>
    <t>OPŽP Frýdlantsko-biokoridor Supí vrch-Bažantnice</t>
  </si>
  <si>
    <t>ZZS LK - vozidlo HART a videolaryngoskopy</t>
  </si>
  <si>
    <t>ZZS LK - Kybernetická bezpečnost</t>
  </si>
  <si>
    <t>ZZS LK - modernizace HW, SW, kom- infrastruktury</t>
  </si>
  <si>
    <t xml:space="preserve">Inovační centrum-podnikatelský inkubátor  </t>
  </si>
  <si>
    <t>IROP Okružní křižovatka II/292 a II/289 Semily</t>
  </si>
  <si>
    <t>IROP II/286 Jilemnice - Košťálov</t>
  </si>
  <si>
    <t>IROP Jablonné v Podještědí - 2.etapa</t>
  </si>
  <si>
    <t>IROP Silnice II/592 Kryštofovo údolí-Křižany</t>
  </si>
  <si>
    <t xml:space="preserve">IROP Silnice II/286 ul.Žižkova,Jilemnice  </t>
  </si>
  <si>
    <t xml:space="preserve">PD IROP II/290 Roprachtice-Kořenov </t>
  </si>
  <si>
    <t>IROP - školy bez bariér-Gymnázia a OA - rezerva</t>
  </si>
  <si>
    <t>IROP COV služeb,Česká Lípa</t>
  </si>
  <si>
    <t>IROP-Školy bez bariér-SOŠ SPŠSE a VOŠ LBC</t>
  </si>
  <si>
    <t>IROP-Školy bez barier-střední odborné školy - rezerva</t>
  </si>
  <si>
    <t xml:space="preserve">OPŽP-SEN zdravot.škola Turnov </t>
  </si>
  <si>
    <t>OPŽP SEN jídelny Gymnázia Česká Lípa</t>
  </si>
  <si>
    <t>IROP II-COV LK stroj a robot. SPŠT Jabonec n.N.</t>
  </si>
  <si>
    <t xml:space="preserve">OPŽP FVE Gymnázium Čeká Lípa  </t>
  </si>
  <si>
    <t>OPŽP-FVE Gymnázium Dr.A.Randy Jablonec n.N.</t>
  </si>
  <si>
    <t>ZŠ a MŠ pro tělesně postižené Lbc-reko.DM Zeyerova</t>
  </si>
  <si>
    <t xml:space="preserve">IROP II.-COV LK stavebnictví SŠ Semily  </t>
  </si>
  <si>
    <t>IROP II-COV LK pro Obráb.kovů a vstřik.plastů</t>
  </si>
  <si>
    <t xml:space="preserve">IROP II-COV LK zdravotnicko-sociální SZŠ </t>
  </si>
  <si>
    <t xml:space="preserve">OPŽP snížení energetické náročnosti APOSS Liberec  </t>
  </si>
  <si>
    <t xml:space="preserve">OPŽP - SEN CIPS Tanvalská LBC  </t>
  </si>
  <si>
    <t>RAP-APOSS-výstavba domácností Liberec,Rochlická</t>
  </si>
  <si>
    <t>RAP-Transformace-Služby soc.péče Tereza,Benešov S.</t>
  </si>
  <si>
    <t>IROP 1.2 Parkovací dům u AN Liberec</t>
  </si>
  <si>
    <t>IROP 1.2-Autobusové nádraží Liberec</t>
  </si>
  <si>
    <t xml:space="preserve">Centrální depozitář pro PO resortu Kultury </t>
  </si>
  <si>
    <t xml:space="preserve">OPPSČR-Sasko II-Pro horolez.neex.hranice,MČRTurnov </t>
  </si>
  <si>
    <t xml:space="preserve">VMG Č.Lípa-revitalizace objektů detaš.pracoviště  </t>
  </si>
  <si>
    <t xml:space="preserve">OPŽP 4.3 - Tůně - zadržení vody Frýdlantsko  </t>
  </si>
  <si>
    <t>OPŽP 4.3 - Nádrže - zadržení vody Frýdlantsko</t>
  </si>
  <si>
    <t>OPŽP-SEN dětská LRN Cvikov (pavilon C)</t>
  </si>
  <si>
    <t xml:space="preserve">Revital.dol.centra Lbc-Veget. střecha na park.domě  </t>
  </si>
  <si>
    <t>MAS 68-učebna jazyků a IT, SŠHL Frýdlant</t>
  </si>
  <si>
    <t xml:space="preserve">PD nový objekt Zdravotnické školy v Liberci </t>
  </si>
  <si>
    <t>2302, 2314</t>
  </si>
  <si>
    <t xml:space="preserve">OPŽP-ZTTV obv.konstr. pavilonu B v ulici 28.Října </t>
  </si>
  <si>
    <t>pokračování</t>
  </si>
  <si>
    <t>Podpora a rozvoj soc.sl. v komunitě osob se zdravotním postižením v LK</t>
  </si>
  <si>
    <t>Kotlíkové dotace v LK - jednotliví žadatelé (910)</t>
  </si>
  <si>
    <t>Ostatní</t>
  </si>
  <si>
    <t>SR 2021</t>
  </si>
  <si>
    <t>UR 20201</t>
  </si>
  <si>
    <r>
      <t xml:space="preserve"> * v roce 2021 byla splacena </t>
    </r>
    <r>
      <rPr>
        <b/>
        <sz val="9"/>
        <rFont val="Arial"/>
        <family val="2"/>
        <charset val="238"/>
      </rPr>
      <t>jistina ve výši 46 875 tis. Kč</t>
    </r>
    <r>
      <rPr>
        <sz val="9"/>
        <rFont val="Arial"/>
        <family val="2"/>
        <charset val="238"/>
      </rPr>
      <t xml:space="preserve"> z úvěru "Revitalizace pozemních komunikací na území LK", a to </t>
    </r>
    <r>
      <rPr>
        <b/>
        <sz val="9"/>
        <rFont val="Arial"/>
        <family val="2"/>
        <charset val="238"/>
      </rPr>
      <t>prostřednictvím třídy 8 - Financování</t>
    </r>
  </si>
  <si>
    <r>
      <t xml:space="preserve"> ** v roce 2021 byla splacena</t>
    </r>
    <r>
      <rPr>
        <b/>
        <sz val="9"/>
        <rFont val="Arial"/>
        <family val="2"/>
        <charset val="238"/>
      </rPr>
      <t xml:space="preserve"> jistina ve výši 29 558,53 tis. Kč</t>
    </r>
    <r>
      <rPr>
        <sz val="9"/>
        <rFont val="Arial"/>
        <family val="2"/>
        <charset val="238"/>
      </rPr>
      <t xml:space="preserve"> z úvěru "Komplexní revitalizace mostů na silnicích II. a III. třídy na území LK", a to </t>
    </r>
    <r>
      <rPr>
        <b/>
        <sz val="9"/>
        <rFont val="Arial"/>
        <family val="2"/>
        <charset val="238"/>
      </rPr>
      <t>prostřednictvím třídy 8 - Financování</t>
    </r>
  </si>
  <si>
    <t>Přehled splátek jistin a úroků z úvěrů přijatých Libereckým krajem uhrazených                                             v roce 2021</t>
  </si>
  <si>
    <t>Přehled akcí spolufinancovaných z prostředků EU 2021</t>
  </si>
  <si>
    <t>Přehled úhrady úroků a jistin z úvěrů kraje v roce 2021</t>
  </si>
  <si>
    <t>Výsledek - rekapitulace rozpočtového hospodaření Libereckého kraje                                           k 31.12.2021</t>
  </si>
  <si>
    <t>PŘÍJMY 2021 CELKEM PO KONSOLIDACI*</t>
  </si>
  <si>
    <t>VÝDAJE 2021 CELKEM PO KONSOLIDACI*</t>
  </si>
  <si>
    <t>SALDO 2021</t>
  </si>
  <si>
    <t>Disponibilní zdroje k 1.1.2021 (zapojeny do zdrojů rozpočtu v průběhu roku 2021 prostřednictvím financování)</t>
  </si>
  <si>
    <t>Disponibilní zdroje nezapojené do rozpočtu k 31.12.2021</t>
  </si>
  <si>
    <t>Splátka jistiny úvěru na Revitalizaci pozemních komunikací na území LK (snížení disponibilních zdrojů rozpočtu 2021 prostřednictvím financování)</t>
  </si>
  <si>
    <t>Splátka jistiny úvěru na Komplexní revitalizaci mostů na silnicích II. a III. tř. na území LK (snížení disponibilních zdrojů rozpočtu 2021)</t>
  </si>
  <si>
    <t>Zůstatek na základních účtech a účtech peněžních fondů k 31.12.2021 resp. 1.1.2022</t>
  </si>
  <si>
    <t>položka 8901 - DPH reverse charge (kap. 911 15 - předkontace výdaje, které nebyly skutečnými fyzickými výdaji pro Finanční úřad) - fyzické odeslání peněz až v roce 2022</t>
  </si>
  <si>
    <t>"cizí" prostředky a vratky jiným poskytovatelům</t>
  </si>
  <si>
    <t>nezapojené prostředky roku 2021</t>
  </si>
  <si>
    <t>Schválené a provedené změny rozpočtu kraje 2022 z prostředků roku 2021</t>
  </si>
  <si>
    <r>
      <rPr>
        <b/>
        <sz val="9"/>
        <rFont val="Arial"/>
        <family val="2"/>
        <charset val="238"/>
      </rPr>
      <t>SR 2022</t>
    </r>
    <r>
      <rPr>
        <sz val="9"/>
        <rFont val="Arial"/>
        <family val="2"/>
        <charset val="238"/>
      </rPr>
      <t xml:space="preserve"> - zapojení finančních zdrojů minulých rozpočtových období  - zapojení vyšších než plánovaných daňových příjmů 2021</t>
    </r>
  </si>
  <si>
    <r>
      <rPr>
        <b/>
        <sz val="9"/>
        <rFont val="Arial"/>
        <family val="2"/>
        <charset val="238"/>
      </rPr>
      <t>RO č. 5/22 - Zdravotnictví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926 09</t>
    </r>
    <r>
      <rPr>
        <sz val="9"/>
        <rFont val="Arial"/>
        <family val="2"/>
        <charset val="238"/>
      </rPr>
      <t xml:space="preserve"> - Dotační fond, přechod financování schválených akcí z roku 2021 do roku 2022 a převod úspor z ukončených nebo nerealizovaných akcí do rezerv jednotlivých programů</t>
    </r>
  </si>
  <si>
    <r>
      <t xml:space="preserve">RO č. 7/22 - Školství - </t>
    </r>
    <r>
      <rPr>
        <sz val="9"/>
        <rFont val="Arial"/>
        <family val="2"/>
        <charset val="238"/>
      </rPr>
      <t xml:space="preserve">zapojení do kap. </t>
    </r>
    <r>
      <rPr>
        <b/>
        <sz val="9"/>
        <rFont val="Arial"/>
        <family val="2"/>
        <charset val="238"/>
      </rPr>
      <t>916 04 -</t>
    </r>
    <r>
      <rPr>
        <sz val="9"/>
        <rFont val="Arial"/>
        <family val="2"/>
        <charset val="238"/>
      </rPr>
      <t xml:space="preserve"> Účelové neinvestiční dotace školství</t>
    </r>
    <r>
      <rPr>
        <b/>
        <sz val="9"/>
        <rFont val="Arial"/>
        <family val="2"/>
        <charset val="238"/>
      </rPr>
      <t>,</t>
    </r>
    <r>
      <rPr>
        <sz val="9"/>
        <rFont val="Arial"/>
        <family val="2"/>
        <charset val="238"/>
      </rPr>
      <t xml:space="preserve"> ZŠ a MŠ Mříčná, p.o.  uhradila neprominutou část odvodu za porušení rozpočtové kázně, finanční prostředky budou odvedeny na účet MŠMT </t>
    </r>
  </si>
  <si>
    <r>
      <t xml:space="preserve">RO č. 8/22 - Investice </t>
    </r>
    <r>
      <rPr>
        <sz val="9"/>
        <rFont val="Arial"/>
        <family val="2"/>
        <charset val="238"/>
      </rPr>
      <t xml:space="preserve">- zapojení do kap. </t>
    </r>
    <r>
      <rPr>
        <b/>
        <sz val="9"/>
        <rFont val="Arial"/>
        <family val="2"/>
        <charset val="238"/>
      </rPr>
      <t xml:space="preserve">920 14 </t>
    </r>
    <r>
      <rPr>
        <sz val="9"/>
        <rFont val="Arial"/>
        <family val="2"/>
        <charset val="238"/>
      </rPr>
      <t>- Kapitálové výdaje, převod finančních prostředků z roku 2021 do rozpočtu 2022 na úhradu smluvních závazků u nedokončených investičních akcí, schválených v roce 2021</t>
    </r>
  </si>
  <si>
    <r>
      <t xml:space="preserve">RO č. 9/22 - Zdravotnictví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912 09 - </t>
    </r>
    <r>
      <rPr>
        <sz val="9"/>
        <rFont val="Arial"/>
        <family val="2"/>
        <charset val="238"/>
      </rPr>
      <t xml:space="preserve">Účelové příspěvky PO, </t>
    </r>
    <r>
      <rPr>
        <b/>
        <sz val="9"/>
        <rFont val="Arial"/>
        <family val="2"/>
        <charset val="238"/>
      </rPr>
      <t>920 09</t>
    </r>
    <r>
      <rPr>
        <sz val="9"/>
        <rFont val="Arial"/>
        <family val="2"/>
        <charset val="238"/>
      </rPr>
      <t xml:space="preserve"> - Kapitálové výdaje a </t>
    </r>
    <r>
      <rPr>
        <b/>
        <sz val="9"/>
        <rFont val="Arial"/>
        <family val="2"/>
        <charset val="238"/>
      </rPr>
      <t>924 09 -</t>
    </r>
    <r>
      <rPr>
        <sz val="9"/>
        <rFont val="Arial"/>
        <family val="2"/>
        <charset val="238"/>
      </rPr>
      <t xml:space="preserve"> Úvěry a </t>
    </r>
    <r>
      <rPr>
        <b/>
        <sz val="9"/>
        <rFont val="Arial"/>
        <family val="2"/>
        <charset val="238"/>
      </rPr>
      <t xml:space="preserve">920 14 </t>
    </r>
    <r>
      <rPr>
        <sz val="9"/>
        <rFont val="Arial"/>
        <family val="2"/>
        <charset val="238"/>
      </rPr>
      <t>- Kapitálové výdaje, odbor investic, převod finančních prostředků roku 2021 do rozpočtu 2022 z důvodu pokrytí finančních závazků uzavřených v roce 2019 až 2021, jejichž plnění bude realizované v roce 2022</t>
    </r>
  </si>
  <si>
    <r>
      <t xml:space="preserve">RO č. 11/22 - Regionální rozvoj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917 02 </t>
    </r>
    <r>
      <rPr>
        <sz val="9"/>
        <rFont val="Arial"/>
        <family val="2"/>
        <charset val="238"/>
      </rPr>
      <t xml:space="preserve">- Transfery a kapitoly </t>
    </r>
    <r>
      <rPr>
        <b/>
        <sz val="9"/>
        <rFont val="Arial"/>
        <family val="2"/>
        <charset val="238"/>
      </rPr>
      <t>926 02 -</t>
    </r>
    <r>
      <rPr>
        <sz val="9"/>
        <rFont val="Arial"/>
        <family val="2"/>
        <charset val="238"/>
      </rPr>
      <t xml:space="preserve"> Dotační fond, převod finančních prostředků z roku 2021 do rozpočtu kraje na rok 2022 z důvodu pokrytí finančních závazků uzavřených v roce 2021, jejichž finanční plnění bude realizováno v roce 2022</t>
    </r>
  </si>
  <si>
    <r>
      <t>RO č. 13/22 - Školství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920 04</t>
    </r>
    <r>
      <rPr>
        <sz val="9"/>
        <rFont val="Arial"/>
        <family val="2"/>
        <charset val="238"/>
      </rPr>
      <t xml:space="preserve"> - Kapitálové výdaje</t>
    </r>
    <r>
      <rPr>
        <b/>
        <sz val="9"/>
        <rFont val="Arial"/>
        <family val="2"/>
        <charset val="238"/>
      </rPr>
      <t>,</t>
    </r>
    <r>
      <rPr>
        <sz val="9"/>
        <rFont val="Arial"/>
        <family val="2"/>
        <charset val="238"/>
      </rPr>
      <t xml:space="preserve"> převod financování z důvodu pokrytí finančních závazků uzavřených v roce 2021, jejichž finanční plnění bude realizováno v roce 2022</t>
    </r>
  </si>
  <si>
    <r>
      <t>RO č. 14/22 - Kultura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912 07 </t>
    </r>
    <r>
      <rPr>
        <sz val="9"/>
        <rFont val="Arial"/>
        <family val="2"/>
        <charset val="238"/>
      </rPr>
      <t>- Účelové příspěvky PO, převod nedočerpaných finančních prostředků roku 2021 do rozpočtu kraje na rok 2022</t>
    </r>
  </si>
  <si>
    <r>
      <t xml:space="preserve">RO č. 16/22 - Životní prostředí </t>
    </r>
    <r>
      <rPr>
        <sz val="9"/>
        <rFont val="Arial"/>
        <family val="2"/>
        <charset val="238"/>
      </rPr>
      <t xml:space="preserve">- zapojení do kap. </t>
    </r>
    <r>
      <rPr>
        <b/>
        <sz val="9"/>
        <rFont val="Arial"/>
        <family val="2"/>
        <charset val="238"/>
      </rPr>
      <t>912 08 -</t>
    </r>
    <r>
      <rPr>
        <sz val="9"/>
        <rFont val="Arial"/>
        <family val="2"/>
        <charset val="238"/>
      </rPr>
      <t xml:space="preserve"> Účelové příspěvky PO</t>
    </r>
    <r>
      <rPr>
        <b/>
        <sz val="9"/>
        <rFont val="Arial"/>
        <family val="2"/>
        <charset val="238"/>
      </rPr>
      <t>, 914 08 -</t>
    </r>
    <r>
      <rPr>
        <sz val="9"/>
        <rFont val="Arial"/>
        <family val="2"/>
        <charset val="238"/>
      </rPr>
      <t xml:space="preserve"> Působnosti,</t>
    </r>
    <r>
      <rPr>
        <b/>
        <sz val="9"/>
        <rFont val="Arial"/>
        <family val="2"/>
        <charset val="238"/>
      </rPr>
      <t xml:space="preserve"> 917 08</t>
    </r>
    <r>
      <rPr>
        <sz val="9"/>
        <rFont val="Arial"/>
        <family val="2"/>
        <charset val="238"/>
      </rPr>
      <t xml:space="preserve"> - Transfery a </t>
    </r>
    <r>
      <rPr>
        <b/>
        <sz val="9"/>
        <rFont val="Arial"/>
        <family val="2"/>
        <charset val="238"/>
      </rPr>
      <t xml:space="preserve">920 08 - </t>
    </r>
    <r>
      <rPr>
        <sz val="9"/>
        <rFont val="Arial"/>
        <family val="2"/>
        <charset val="238"/>
      </rPr>
      <t>Kapitálové výdaje</t>
    </r>
    <r>
      <rPr>
        <b/>
        <sz val="9"/>
        <rFont val="Arial"/>
        <family val="2"/>
        <charset val="238"/>
      </rPr>
      <t xml:space="preserve">, </t>
    </r>
    <r>
      <rPr>
        <sz val="9"/>
        <rFont val="Arial"/>
        <family val="2"/>
        <charset val="238"/>
      </rPr>
      <t>převod nedočerpaných finančních prostředků z roku 2021 do rozpočtu kraje na rok 2022, z důvodu pokrytí finančních závazků uzavřených v roce 2021, jejichž finanční plnění bude realizováno v roce 2022</t>
    </r>
  </si>
  <si>
    <r>
      <t xml:space="preserve">ZR-RO č. 20/22 - Ekonomika - </t>
    </r>
    <r>
      <rPr>
        <sz val="9"/>
        <rFont val="Arial"/>
        <family val="2"/>
        <charset val="238"/>
      </rPr>
      <t xml:space="preserve">zapojení vyšších daňových příjmů dosažených v roce 2021 </t>
    </r>
  </si>
  <si>
    <r>
      <t xml:space="preserve">RO č. 25/22 - Školství - </t>
    </r>
    <r>
      <rPr>
        <sz val="9"/>
        <rFont val="Arial"/>
        <family val="2"/>
        <charset val="238"/>
      </rPr>
      <t xml:space="preserve">zapojení do kap. </t>
    </r>
    <r>
      <rPr>
        <b/>
        <sz val="9"/>
        <rFont val="Arial"/>
        <family val="2"/>
        <charset val="238"/>
      </rPr>
      <t>912 04 -</t>
    </r>
    <r>
      <rPr>
        <sz val="9"/>
        <rFont val="Arial"/>
        <family val="2"/>
        <charset val="238"/>
      </rPr>
      <t xml:space="preserve"> Účelové příspěvky PO, pokrytí finančních závazků uzavřených v roce 2021, jejichž finanční plnění bude realizováno v roce 2022</t>
    </r>
  </si>
  <si>
    <r>
      <t xml:space="preserve">RO č. 27/22 - Životní prostředí - </t>
    </r>
    <r>
      <rPr>
        <sz val="9"/>
        <rFont val="Arial"/>
        <family val="2"/>
        <charset val="238"/>
      </rPr>
      <t xml:space="preserve">zapojení do kap. </t>
    </r>
    <r>
      <rPr>
        <b/>
        <sz val="9"/>
        <rFont val="Arial"/>
        <family val="2"/>
        <charset val="238"/>
      </rPr>
      <t>932 08</t>
    </r>
    <r>
      <rPr>
        <sz val="9"/>
        <rFont val="Arial"/>
        <family val="2"/>
        <charset val="238"/>
      </rPr>
      <t xml:space="preserve"> - Fond ochrany vod a kap. </t>
    </r>
    <r>
      <rPr>
        <b/>
        <sz val="9"/>
        <rFont val="Arial"/>
        <family val="2"/>
        <charset val="238"/>
      </rPr>
      <t xml:space="preserve">934 08 </t>
    </r>
    <r>
      <rPr>
        <sz val="9"/>
        <rFont val="Arial"/>
        <family val="2"/>
        <charset val="238"/>
      </rPr>
      <t>- Lesnický fond,  přechod financování schválených akcí či činností z roku 2021 do roku 2022, resp. z titulu převodu úspor z ukončených nebo nerealizovaných akcí do rezerv příslušných programů (fondů)</t>
    </r>
  </si>
  <si>
    <r>
      <t xml:space="preserve">RO č. 28/22 - Školství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923 04</t>
    </r>
    <r>
      <rPr>
        <sz val="9"/>
        <rFont val="Arial"/>
        <family val="2"/>
        <charset val="238"/>
      </rPr>
      <t xml:space="preserve"> - Spolufinancování EU, vratka finančních prostředků poskytnutých MPSV v roce 2020 na projekt Potravinová pomoc dětem v Libereckém kraji 6</t>
    </r>
  </si>
  <si>
    <r>
      <t xml:space="preserve">RO č. 30/22 - Informatika </t>
    </r>
    <r>
      <rPr>
        <sz val="9"/>
        <rFont val="Arial"/>
        <family val="2"/>
        <charset val="238"/>
      </rPr>
      <t>- zapojení do kap.</t>
    </r>
    <r>
      <rPr>
        <b/>
        <sz val="9"/>
        <rFont val="Arial"/>
        <family val="2"/>
        <charset val="238"/>
      </rPr>
      <t xml:space="preserve"> 914 12</t>
    </r>
    <r>
      <rPr>
        <sz val="9"/>
        <rFont val="Arial"/>
        <family val="2"/>
        <charset val="238"/>
      </rPr>
      <t xml:space="preserve"> - Působnosti,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kap.</t>
    </r>
    <r>
      <rPr>
        <b/>
        <sz val="9"/>
        <rFont val="Arial"/>
        <family val="2"/>
        <charset val="238"/>
      </rPr>
      <t xml:space="preserve"> 920 12 </t>
    </r>
    <r>
      <rPr>
        <sz val="9"/>
        <rFont val="Arial"/>
        <family val="2"/>
        <charset val="238"/>
      </rPr>
      <t>- Kapitálové výdaje, převod finančních prostředků na pokrytí finančních závazků uzavřených v roce 2021, jejichž finanční plnění bude realizováno v roce 2022</t>
    </r>
  </si>
  <si>
    <r>
      <t>RO č. 31/22 - Dopravní obslužnost -</t>
    </r>
    <r>
      <rPr>
        <sz val="9"/>
        <rFont val="Arial"/>
        <family val="2"/>
        <charset val="238"/>
      </rPr>
      <t xml:space="preserve"> zapojení do kap.</t>
    </r>
    <r>
      <rPr>
        <b/>
        <sz val="9"/>
        <rFont val="Arial"/>
        <family val="2"/>
        <charset val="238"/>
      </rPr>
      <t xml:space="preserve"> 914 21</t>
    </r>
    <r>
      <rPr>
        <sz val="9"/>
        <rFont val="Arial"/>
        <family val="2"/>
        <charset val="238"/>
      </rPr>
      <t xml:space="preserve"> - Působnosti, převod finančních prostředků z roku 2021 do rozpočtu 2022 na úhradu smluvních závazků u nedokončených akcí</t>
    </r>
  </si>
  <si>
    <r>
      <t>RO č. 32/22 - Dopravní obslužnost -</t>
    </r>
    <r>
      <rPr>
        <sz val="9"/>
        <rFont val="Arial"/>
        <family val="2"/>
        <charset val="238"/>
      </rPr>
      <t xml:space="preserve"> zapojení do kap.</t>
    </r>
    <r>
      <rPr>
        <b/>
        <sz val="9"/>
        <rFont val="Arial"/>
        <family val="2"/>
        <charset val="238"/>
      </rPr>
      <t xml:space="preserve"> 917 21</t>
    </r>
    <r>
      <rPr>
        <sz val="9"/>
        <rFont val="Arial"/>
        <family val="2"/>
        <charset val="238"/>
      </rPr>
      <t xml:space="preserve"> - Působnosti, převod finančních prostředků z roku 2021 do rozpočtu 2022 na úhradu smluvních závazků u nedokončených akcí</t>
    </r>
  </si>
  <si>
    <r>
      <t xml:space="preserve">RO č. 33/22 - Silniční hospodářství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914 06</t>
    </r>
    <r>
      <rPr>
        <sz val="9"/>
        <rFont val="Arial"/>
        <family val="2"/>
        <charset val="238"/>
      </rPr>
      <t xml:space="preserve"> - Působnosti, převod finančních prostředků z roku 2021 do rozpočtu 2022 na úhradu smluvních závazků </t>
    </r>
  </si>
  <si>
    <r>
      <t xml:space="preserve">RO č. 34/22 - Rozvoj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923 02</t>
    </r>
    <r>
      <rPr>
        <sz val="9"/>
        <rFont val="Arial"/>
        <family val="2"/>
        <charset val="238"/>
      </rPr>
      <t xml:space="preserve"> a </t>
    </r>
    <r>
      <rPr>
        <b/>
        <sz val="9"/>
        <rFont val="Arial"/>
        <family val="2"/>
        <charset val="238"/>
      </rPr>
      <t xml:space="preserve">923 14 </t>
    </r>
    <r>
      <rPr>
        <sz val="9"/>
        <rFont val="Arial"/>
        <family val="2"/>
        <charset val="238"/>
      </rPr>
      <t>- Spolufinancování EU,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převod finančních prostředků z důvodu pokrytí finančních závazků uzavřených v letech 2019 - 2021, jejichž finanční plnění bude realizováno v roce 2022</t>
    </r>
  </si>
  <si>
    <r>
      <t>RO č. 37/22 - Kultura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914 07 </t>
    </r>
    <r>
      <rPr>
        <sz val="9"/>
        <rFont val="Arial"/>
        <family val="2"/>
        <charset val="238"/>
      </rPr>
      <t>- Působnosti a kap.</t>
    </r>
    <r>
      <rPr>
        <b/>
        <sz val="9"/>
        <rFont val="Arial"/>
        <family val="2"/>
        <charset val="238"/>
      </rPr>
      <t xml:space="preserve"> 917 07 </t>
    </r>
    <r>
      <rPr>
        <sz val="9"/>
        <rFont val="Arial"/>
        <family val="2"/>
        <charset val="238"/>
      </rPr>
      <t>- Transfery, převod financování na pokrytí závazků uzavřených v roce 2021, jejichž plnění bude realizováno v roce 2022</t>
    </r>
  </si>
  <si>
    <r>
      <t>RO č. 38/22 - Kultura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926 07 </t>
    </r>
    <r>
      <rPr>
        <sz val="9"/>
        <rFont val="Arial"/>
        <family val="2"/>
        <charset val="238"/>
      </rPr>
      <t>- Dotační fond,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převod financování na pokrytí finančních závazků uzavřených v roce 2021, jejichž finanční plnění bude realizováno v roce 2022</t>
    </r>
  </si>
  <si>
    <r>
      <t xml:space="preserve">RO č. 40/22 - Sociální věci - </t>
    </r>
    <r>
      <rPr>
        <sz val="9"/>
        <rFont val="Arial"/>
        <family val="2"/>
        <charset val="238"/>
      </rPr>
      <t>zapojení do kap.</t>
    </r>
    <r>
      <rPr>
        <b/>
        <sz val="9"/>
        <rFont val="Arial"/>
        <family val="2"/>
        <charset val="238"/>
      </rPr>
      <t xml:space="preserve"> 912 05</t>
    </r>
    <r>
      <rPr>
        <sz val="9"/>
        <rFont val="Arial"/>
        <family val="2"/>
        <charset val="238"/>
      </rPr>
      <t xml:space="preserve"> - Účelové příspěvky PO, do kap. </t>
    </r>
    <r>
      <rPr>
        <b/>
        <sz val="9"/>
        <rFont val="Arial"/>
        <family val="2"/>
        <charset val="238"/>
      </rPr>
      <t>914 05</t>
    </r>
    <r>
      <rPr>
        <sz val="9"/>
        <rFont val="Arial"/>
        <family val="2"/>
        <charset val="238"/>
      </rPr>
      <t xml:space="preserve"> - Působnosti, do kap. </t>
    </r>
    <r>
      <rPr>
        <b/>
        <sz val="9"/>
        <rFont val="Arial"/>
        <family val="2"/>
        <charset val="238"/>
      </rPr>
      <t>920 05</t>
    </r>
    <r>
      <rPr>
        <sz val="9"/>
        <rFont val="Arial"/>
        <family val="2"/>
        <charset val="238"/>
      </rPr>
      <t xml:space="preserve"> - Kapitálové výdaje a kap. </t>
    </r>
    <r>
      <rPr>
        <b/>
        <sz val="9"/>
        <rFont val="Arial"/>
        <family val="2"/>
        <charset val="238"/>
      </rPr>
      <t>926 05</t>
    </r>
    <r>
      <rPr>
        <sz val="9"/>
        <rFont val="Arial"/>
        <family val="2"/>
        <charset val="238"/>
      </rPr>
      <t xml:space="preserve"> - Dotační fond, převod úspory konkrétních jmenovitých akcí a s nimi spojených uzavřených smluvních závazků, přecházejících z rozpočtu kraje 2021 do rozpočtu 2022</t>
    </r>
  </si>
  <si>
    <r>
      <rPr>
        <b/>
        <sz val="9"/>
        <rFont val="Arial"/>
        <family val="2"/>
        <charset val="238"/>
      </rPr>
      <t>RO č. 43/22 - Školství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915 04 </t>
    </r>
    <r>
      <rPr>
        <sz val="9"/>
        <rFont val="Arial"/>
        <family val="2"/>
        <charset val="238"/>
      </rPr>
      <t xml:space="preserve">- Významné akce a kap. </t>
    </r>
    <r>
      <rPr>
        <b/>
        <sz val="9"/>
        <rFont val="Arial"/>
        <family val="2"/>
        <charset val="238"/>
      </rPr>
      <t>917 04</t>
    </r>
    <r>
      <rPr>
        <sz val="9"/>
        <rFont val="Arial"/>
        <family val="2"/>
        <charset val="238"/>
      </rPr>
      <t xml:space="preserve"> - Transfery, převedení finančních prostředků z důvodu pokrytí finančních závazků uzavřených v roce 2021 a letech předešlých, jejichž finanční plnění bude realizováno v roce 2022</t>
    </r>
  </si>
  <si>
    <r>
      <t>RO č. 48/22 - Silniční hospodářství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920 06</t>
    </r>
    <r>
      <rPr>
        <sz val="9"/>
        <rFont val="Arial"/>
        <family val="2"/>
        <charset val="238"/>
      </rPr>
      <t xml:space="preserve"> - Kapitálové výdaje, převod finančních prostředků na zajištění smluvních závazků uzavřených v roce 2021 a předchozích letech,  jejichž finanční plnění bude realizováno v roce 2022</t>
    </r>
  </si>
  <si>
    <r>
      <t xml:space="preserve">RO č. 55/22 - Životní prostředí </t>
    </r>
    <r>
      <rPr>
        <sz val="9"/>
        <rFont val="Arial"/>
        <family val="2"/>
        <charset val="238"/>
      </rPr>
      <t>- zapojení do kap.</t>
    </r>
    <r>
      <rPr>
        <b/>
        <sz val="9"/>
        <rFont val="Arial"/>
        <family val="2"/>
        <charset val="238"/>
      </rPr>
      <t xml:space="preserve"> 914 08 -</t>
    </r>
    <r>
      <rPr>
        <sz val="9"/>
        <rFont val="Arial"/>
        <family val="2"/>
        <charset val="238"/>
      </rPr>
      <t xml:space="preserve"> Působnosti, převod finančních prostředků na zajištění smluvního závazku, jež byl uzavřen v roce 2021 a jehož finanční plnění bude realizováno v roce 2022</t>
    </r>
  </si>
  <si>
    <r>
      <t>RO č. 65/22 - Hejtman -</t>
    </r>
    <r>
      <rPr>
        <sz val="9"/>
        <rFont val="Arial"/>
        <family val="2"/>
        <charset val="238"/>
      </rPr>
      <t xml:space="preserve"> zapojení do kap. </t>
    </r>
    <r>
      <rPr>
        <b/>
        <sz val="9"/>
        <rFont val="Arial"/>
        <family val="2"/>
        <charset val="238"/>
      </rPr>
      <t>917 01</t>
    </r>
    <r>
      <rPr>
        <sz val="9"/>
        <rFont val="Arial"/>
        <family val="2"/>
        <charset val="238"/>
      </rPr>
      <t xml:space="preserve"> - Transfery, převod finančních prostředků na zajištění smluvního závazku, jež byl uzavřen v roce 2021 a jehož finanční plnění bude realizováno v roce 2022</t>
    </r>
  </si>
  <si>
    <r>
      <t>RO č. 75/22 - Ekonomika -</t>
    </r>
    <r>
      <rPr>
        <sz val="9"/>
        <rFont val="Arial"/>
        <family val="2"/>
        <charset val="238"/>
      </rPr>
      <t xml:space="preserve"> vypořádání kapitoly</t>
    </r>
    <r>
      <rPr>
        <b/>
        <sz val="9"/>
        <rFont val="Arial"/>
        <family val="2"/>
        <charset val="238"/>
      </rPr>
      <t xml:space="preserve"> 923 </t>
    </r>
    <r>
      <rPr>
        <sz val="9"/>
        <rFont val="Arial"/>
        <family val="2"/>
        <charset val="238"/>
      </rPr>
      <t>- Spolufinancování EU z roku 2021 do rozpočtu 2022</t>
    </r>
  </si>
  <si>
    <r>
      <rPr>
        <b/>
        <sz val="9"/>
        <rFont val="Arial"/>
        <family val="2"/>
        <charset val="238"/>
      </rPr>
      <t>RO č. 77/22 - Ekonomika</t>
    </r>
    <r>
      <rPr>
        <sz val="9"/>
        <rFont val="Arial"/>
        <family val="2"/>
        <charset val="238"/>
      </rPr>
      <t xml:space="preserve"> - Finanční vypořádání se SR</t>
    </r>
  </si>
  <si>
    <r>
      <rPr>
        <b/>
        <sz val="9"/>
        <rFont val="Arial"/>
        <family val="2"/>
        <charset val="238"/>
      </rPr>
      <t>RO č. 76/22 - Ekonomika</t>
    </r>
    <r>
      <rPr>
        <sz val="9"/>
        <rFont val="Arial"/>
        <family val="2"/>
        <charset val="238"/>
      </rPr>
      <t xml:space="preserve"> - Dovypořádání peněžních fondů kraje</t>
    </r>
  </si>
  <si>
    <r>
      <rPr>
        <b/>
        <sz val="9"/>
        <rFont val="Arial"/>
        <family val="2"/>
        <charset val="238"/>
      </rPr>
      <t>ZR-RO č. 78/22 - Ekonomika</t>
    </r>
    <r>
      <rPr>
        <sz val="9"/>
        <rFont val="Arial"/>
        <family val="2"/>
        <charset val="238"/>
      </rPr>
      <t xml:space="preserve"> - navýšení výdajů na energie u vybraných kapitol rozpočtu</t>
    </r>
  </si>
  <si>
    <r>
      <t>ZR-RO č. 123/22 - Ekonomika</t>
    </r>
    <r>
      <rPr>
        <sz val="9"/>
        <rFont val="Arial"/>
        <family val="2"/>
        <charset val="238"/>
      </rPr>
      <t xml:space="preserve"> - zapojení zůstatku disponibilních zdrojů roku 2021 alokací do rozpočtu kraje 2022</t>
    </r>
  </si>
  <si>
    <t>Zůstatek disponibilních zdrojů kraje z roku 2021 po provedených změnách rozpočtu v roce 2022</t>
  </si>
  <si>
    <r>
      <t xml:space="preserve">Zůstatek na základních účtech a účtech peněžních fondů k 31.12.2021 resp. 1.1.2022 </t>
    </r>
    <r>
      <rPr>
        <sz val="9"/>
        <color rgb="FF008000"/>
        <rFont val="Arial"/>
        <family val="2"/>
        <charset val="238"/>
      </rPr>
      <t xml:space="preserve"> (dle Fin 2-12M k 31.12.2021) </t>
    </r>
    <r>
      <rPr>
        <b/>
        <sz val="9"/>
        <color rgb="FF008000"/>
        <rFont val="Arial"/>
        <family val="2"/>
        <charset val="238"/>
      </rPr>
      <t>+ stavy pokladen</t>
    </r>
  </si>
  <si>
    <t>inventarizacemi ověřených skutečných stavů majetku předaného k hospodaření příspěvkovým organizacím ke dni 31. 12. 2021</t>
  </si>
  <si>
    <t>Pořizovaný DFM</t>
  </si>
  <si>
    <t>043</t>
  </si>
  <si>
    <t>Oprávky k ostatnímu DHM</t>
  </si>
  <si>
    <t>089</t>
  </si>
  <si>
    <t>Pohledávky za osobami mimo vybrané vládní institucemi</t>
  </si>
  <si>
    <t>Závazky z upsaných nesplacených cenných papírů a podílů</t>
  </si>
  <si>
    <t>368</t>
  </si>
  <si>
    <t>Krátk. podm. závazky z důvodu užívání cizího majetku na základě smlouvy o výpůjčce</t>
  </si>
  <si>
    <t>Přehled inventarizací ověřených skutečných stavů majetku a závazků Libereckého kraje ke dni 31. 12. 2021</t>
  </si>
  <si>
    <t>Stav majetku a závazků kraje zjištěný inventarizací k 31.12.2021</t>
  </si>
  <si>
    <t>Inventarizace majetku kraje svěřeného k využití přísp. organizacím k 31.12.2021</t>
  </si>
  <si>
    <t>Výsledek rozpočtového hospodaření Libereckého kraje k 31.12.2021</t>
  </si>
  <si>
    <t xml:space="preserve">č e r v e n   2 0 2 2 </t>
  </si>
  <si>
    <t>Tvorba příjmů upraveného rozpočtu kraje na rok 2021</t>
  </si>
  <si>
    <t>Zdroje kraje 2021 celkem bez financování</t>
  </si>
  <si>
    <t>Zdroje kraje 2021 celkem</t>
  </si>
  <si>
    <t>zapojení klad.rozpočtového salda z r. 2020</t>
  </si>
  <si>
    <t>zapojení zůstatků peněžních fondů z r. 2020</t>
  </si>
  <si>
    <r>
      <t xml:space="preserve">Komplexní revitalizace mostů na silnicích II. a III. tř. na území LK - úvěr </t>
    </r>
    <r>
      <rPr>
        <sz val="8"/>
        <color indexed="10"/>
        <rFont val="Arial"/>
        <family val="2"/>
        <charset val="238"/>
      </rPr>
      <t xml:space="preserve"> **</t>
    </r>
  </si>
  <si>
    <t xml:space="preserve">  </t>
  </si>
  <si>
    <r>
      <t xml:space="preserve">Komplexní revitalizace mostů na silnicích II. a III. tř. na území LK - roční splátka jistiny </t>
    </r>
    <r>
      <rPr>
        <sz val="8"/>
        <color indexed="10"/>
        <rFont val="Arial"/>
        <family val="2"/>
        <charset val="238"/>
      </rPr>
      <t>**</t>
    </r>
  </si>
  <si>
    <r>
      <t xml:space="preserve">Modernizace KNL - Etapa č. 1 - úroky </t>
    </r>
    <r>
      <rPr>
        <sz val="8"/>
        <color indexed="10"/>
        <rFont val="Arial"/>
        <family val="2"/>
        <charset val="238"/>
      </rPr>
      <t>***</t>
    </r>
  </si>
  <si>
    <t>obchodní společnost</t>
  </si>
  <si>
    <t>%</t>
  </si>
  <si>
    <t>nominální hodnota celkem</t>
  </si>
  <si>
    <t>hodnota vkladů celkem</t>
  </si>
  <si>
    <t xml:space="preserve">vklad majetku </t>
  </si>
  <si>
    <t>finanční vklad</t>
  </si>
  <si>
    <t>Krajská nemocnice Liberec, a.s.</t>
  </si>
  <si>
    <t>Nemocnice s poliklinikou Česká Lípa, a.s.</t>
  </si>
  <si>
    <t>Silnice LK a.s.</t>
  </si>
  <si>
    <t>414 109 706,45</t>
  </si>
  <si>
    <t>Krajský statek Frýdlant, s.r.o., v likvidaci</t>
  </si>
  <si>
    <t>KORID LK, spol. s r.o. Liberec</t>
  </si>
  <si>
    <t>100 000,00</t>
  </si>
  <si>
    <t>Autobusy LK, s.r.o.</t>
  </si>
  <si>
    <t xml:space="preserve">Krajská nemocnice Liberec a.s., příplatek mimo vlastní kapitál - a.s. </t>
  </si>
  <si>
    <t>Nemocnice s poliklinikou Česká Lípa, a.s., příplatek mimo vlastní kapitál</t>
  </si>
  <si>
    <t>Krajský statek Frýdlant, s.r.o., příplatek mimo základní kapitál</t>
  </si>
  <si>
    <t>Autobusy LK, s.r.o., příplatek mimo vlastní kapitál</t>
  </si>
  <si>
    <t>Celkem majetkové účasti v osobách s rozhodujícím vlivem</t>
  </si>
  <si>
    <t>ČSAD Liberec, a.s. - kmenové akcie, darovací smlouva od LIAD s.r.o.</t>
  </si>
  <si>
    <t>ČSAD Liberec, a.s. - kmenové akcie a dohoda o započtení pohledávek</t>
  </si>
  <si>
    <t>ČSAD Liberec, a.s. - kmenové akcie + Dohoda o narovnání a vypořádání vzájemných pohledávek a závazků</t>
  </si>
  <si>
    <t>ČSAD Liberec, a.s. - příplatek mimo základní kapitál</t>
  </si>
  <si>
    <t>MMN, a.s. - kupní smlouva o převodu akcií v MMN, a.s. - s městem Semily a Jilemnice</t>
  </si>
  <si>
    <t>MMN, a.s. dobrovloný příplatek mimo základní kapitál</t>
  </si>
  <si>
    <t>Ostatní dlouhodobý finanční majetek</t>
  </si>
  <si>
    <t>Výdaje rozpočtu Sociálního fondu kraje 2021</t>
  </si>
  <si>
    <t>Saldo zdrojů a výdajů Sociálního fondu kraje 2021</t>
  </si>
  <si>
    <t>Saldo zdrojů a výdajů sociálního fondu kraje 2021</t>
  </si>
  <si>
    <t>zdroje 2021</t>
  </si>
  <si>
    <t>výdaje 2021</t>
  </si>
  <si>
    <t>zůstatek účtu SF k 31.12.2021</t>
  </si>
  <si>
    <t>Zdroje rozpočtu Sociálního fondu kraje 2021</t>
  </si>
  <si>
    <t>zůstatek fin. prostředků na účtu SF k 1.1. 2021</t>
  </si>
  <si>
    <r>
      <t>* zůstatek finančních prostředků na účtu Sociálního fondu kraje z roku 2021 byl v roce 2022 zapojen ke krytí výdajové kapitoly 92515 - Sociálního fondu kraje ve výši 12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>479,27 tis. Kč rozpočtovým opatřením č. 76/22</t>
    </r>
  </si>
  <si>
    <t>Zdroje rozpočtu Dotačního fondu kraje 2021</t>
  </si>
  <si>
    <t>zůstatek fin. prostředků DF k 1.1. 2021</t>
  </si>
  <si>
    <t>příděl do fondu z rozpočtu kraje 2021 (převody ze ZBÚ)</t>
  </si>
  <si>
    <t>Zdroje dotačního fondu 2021 celkem</t>
  </si>
  <si>
    <t>Výdaje dotačního fondu 2021 celkem</t>
  </si>
  <si>
    <t>Výdaje rozpočtu Dotačního fondu kraje 2021</t>
  </si>
  <si>
    <t>Saldo zdrojů a výdajů Dotačního fondu kraje 2021</t>
  </si>
  <si>
    <t>zůstatek účtu DF k 31.12.2021</t>
  </si>
  <si>
    <t>odbor ekonomický - rezervy programů DF</t>
  </si>
  <si>
    <t>Zdroje rozpočtu Krizového fondu kraje 2021</t>
  </si>
  <si>
    <t>Výdaje rozpočtu Krizového fondu kraje 2021</t>
  </si>
  <si>
    <t>Zdroje krizového fondu 2021 celkem</t>
  </si>
  <si>
    <t>Výdaje krizového fondu 2021 celkem</t>
  </si>
  <si>
    <t>Saldo zdrojů a výdajů krizového fondu kraje 2021</t>
  </si>
  <si>
    <t>zůstatek účtu KF k 31.12.2021</t>
  </si>
  <si>
    <t>zůstatek fin. prostředků na účtu krizového fondu k 1.1. 2021</t>
  </si>
  <si>
    <t xml:space="preserve">Nouzový stav 2020-2021 II. (od října 2020)    </t>
  </si>
  <si>
    <t xml:space="preserve">Pořízení pozemku pro stavbu stanice HZS LK </t>
  </si>
  <si>
    <t>Fin.dar-následky živelní pohromy</t>
  </si>
  <si>
    <t>Nouzový stav 2021 III.</t>
  </si>
  <si>
    <t xml:space="preserve">Zřízení česko-něm.služebny-Policie ČRv Hrádku n.N </t>
  </si>
  <si>
    <t xml:space="preserve">Stav pandemické pohotovosti (COVID-19)        </t>
  </si>
  <si>
    <t>příděl do fondu z mezd, platů a odměn zaměstnanců a zastupitelů 2021 (převody ze ZBÚ)</t>
  </si>
  <si>
    <t>Saldo zdrojů a výdajů Krizového fondu kraje 2021</t>
  </si>
  <si>
    <t>ekonomický</t>
  </si>
  <si>
    <t xml:space="preserve">rezervy Dotačního fondu pro rok 2021    </t>
  </si>
  <si>
    <t xml:space="preserve">7.10 Infrastruktura cestovního ruchu   </t>
  </si>
  <si>
    <t>* zůstatek finančních prostředků na účtu Krizového fondu kraje z roku 2021 byl v roce 2022 zapojen ke krytí výdajové kapitoly 931 01 - Krizový fond v celkové výši 23 558,3 tis. Kč rozpočtovým opatřením č. 17/22</t>
  </si>
  <si>
    <t>Zdroje rozpočtu Fondu ochrany vod kraje 2021</t>
  </si>
  <si>
    <t>zůstatek fin. prostředků FOV k 1.1. 2021</t>
  </si>
  <si>
    <t>výdaje na opatření k nápravě ekologické újmy</t>
  </si>
  <si>
    <t>poplatky za odběr podzemních vod 2021</t>
  </si>
  <si>
    <t>Zdroje fondu ochrany vod 2021 celkem</t>
  </si>
  <si>
    <t>Výdaje fondu ochrany vod 2021 celkem</t>
  </si>
  <si>
    <t>Výdaje rozpočtu Fondu ochrany vod kraje 2021</t>
  </si>
  <si>
    <t>Saldo zdrojů a výdajů Fondu ochrany vod kraje 2021</t>
  </si>
  <si>
    <t>zůstatek účtu FOV k 31.12.2021</t>
  </si>
  <si>
    <t>Saldo zdrojů a výdajů FOV kraje 2021</t>
  </si>
  <si>
    <r>
      <t>* zůstatek finančních prostředků na účtu Fondu ochrany vod kraje z roku 2021 byl v roce 2022 zapojen ke krytí výdajové kapitoly 93208 - Fondu ochrany vod kraje ve výši ve výši 30</t>
    </r>
    <r>
      <rPr>
        <sz val="10"/>
        <color theme="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356,87  tis. Kč rozpočtovými opatřeními č. 27/22 </t>
    </r>
  </si>
  <si>
    <t>Zdroje rozpočtu Lesnického fondu kraje 2021</t>
  </si>
  <si>
    <t>Výdaje rozpočtu Lesnického fondu kraje 2021</t>
  </si>
  <si>
    <t xml:space="preserve">Saldo zdrojů a výdajů Lesnického fondu kraje 2021 </t>
  </si>
  <si>
    <t>zůstatek fin. prostředků LF k 1.1. 2021</t>
  </si>
  <si>
    <t>Zdroje lesnického fondu 2021 celkem</t>
  </si>
  <si>
    <t>Výdaje lesnického fondu 2021 celkem</t>
  </si>
  <si>
    <t>zůstatek účtu LF k 31.12.2021</t>
  </si>
  <si>
    <t xml:space="preserve">* zůstatek finančních prostředků na účtu Lesnického fondu kraje z roku 2021 byl v roce 2022 zapojen ke krytí výdajové kapitoly 93408 - Lesnického fondu kraje ve výši ve výši 2 476,62  tis. Kč rozpočtovým opatřením č. 27/22 </t>
  </si>
  <si>
    <t>stav                k 31. 12. 2015</t>
  </si>
  <si>
    <t>stav                           k 31. 12. 2017</t>
  </si>
  <si>
    <t>stav                           k 31. 12. 2016</t>
  </si>
  <si>
    <t>stav                   k 31. 12. 2018</t>
  </si>
  <si>
    <t>stav                  k 31. 12. 2019</t>
  </si>
  <si>
    <t>stav                                        k 31. 12. 2020</t>
  </si>
  <si>
    <t>stav                  k 31. 12. 2021</t>
  </si>
  <si>
    <r>
      <rPr>
        <i/>
        <sz val="10"/>
        <color indexed="10"/>
        <rFont val="Arial"/>
        <family val="2"/>
        <charset val="238"/>
      </rPr>
      <t>***</t>
    </r>
    <r>
      <rPr>
        <sz val="10"/>
        <rFont val="Arial"/>
        <charset val="238"/>
      </rPr>
      <t xml:space="preserve"> </t>
    </r>
    <r>
      <rPr>
        <sz val="8"/>
        <rFont val="Arial"/>
        <family val="2"/>
        <charset val="238"/>
      </rPr>
      <t>dle Střednědobého výhledu rozpočtu LK na období let 2022-2025</t>
    </r>
  </si>
  <si>
    <t>Přehled majetkových účastí k 31. 12. 2021</t>
  </si>
  <si>
    <t>22/1</t>
  </si>
  <si>
    <t>22/3</t>
  </si>
  <si>
    <t>21</t>
  </si>
  <si>
    <t>Majetkové účasti k 31.12.2021</t>
  </si>
  <si>
    <t>ARR Agentura regionálního rozvoje,               s r.o. Liberec</t>
  </si>
  <si>
    <t>Sociální fond kraje za rok 2021</t>
  </si>
  <si>
    <t>26/21/RK</t>
  </si>
  <si>
    <t>04-školství</t>
  </si>
  <si>
    <t>10/21/RK</t>
  </si>
  <si>
    <t>05-soc.věci</t>
  </si>
  <si>
    <t>5/21/RK</t>
  </si>
  <si>
    <t>01-OKH</t>
  </si>
  <si>
    <t>61/21/RK</t>
  </si>
  <si>
    <t>13/21/ZK</t>
  </si>
  <si>
    <t>38/21/RK</t>
  </si>
  <si>
    <t>8/21/RK</t>
  </si>
  <si>
    <t>40/21/RK</t>
  </si>
  <si>
    <t>15/21/RK</t>
  </si>
  <si>
    <t>60/21/RK</t>
  </si>
  <si>
    <t>22/21/RK</t>
  </si>
  <si>
    <t>07-kultura</t>
  </si>
  <si>
    <t>6/21/RK</t>
  </si>
  <si>
    <t>78/21/RK</t>
  </si>
  <si>
    <t>101/21/mRK</t>
  </si>
  <si>
    <t>55/21/RK</t>
  </si>
  <si>
    <t>50/21/RK</t>
  </si>
  <si>
    <t>56/21/RK</t>
  </si>
  <si>
    <t>72/21/RK</t>
  </si>
  <si>
    <t>73/21/RK</t>
  </si>
  <si>
    <t>90/21/RK</t>
  </si>
  <si>
    <t>48/21/RK</t>
  </si>
  <si>
    <t>06-doprava</t>
  </si>
  <si>
    <t>75/21/RK</t>
  </si>
  <si>
    <t>195/21/RK</t>
  </si>
  <si>
    <t>60/21/ZK</t>
  </si>
  <si>
    <t>230/21/RK</t>
  </si>
  <si>
    <t>62/21/ZK</t>
  </si>
  <si>
    <t>200/21/RK</t>
  </si>
  <si>
    <t>161/21/RK</t>
  </si>
  <si>
    <t>162/21/RK</t>
  </si>
  <si>
    <t>163/21/RK</t>
  </si>
  <si>
    <t>140/21/RK</t>
  </si>
  <si>
    <t>97/21/mRK</t>
  </si>
  <si>
    <t>143/21/RK</t>
  </si>
  <si>
    <t>138/21/RK</t>
  </si>
  <si>
    <t>164/21/RK</t>
  </si>
  <si>
    <t>43/21/ZK</t>
  </si>
  <si>
    <t>234/21/RK</t>
  </si>
  <si>
    <t>33/21/ZK</t>
  </si>
  <si>
    <t>34/21/ZK</t>
  </si>
  <si>
    <t>166/21/RK</t>
  </si>
  <si>
    <t>167/21/RK</t>
  </si>
  <si>
    <t>130/21/RK</t>
  </si>
  <si>
    <t>119/21/RK</t>
  </si>
  <si>
    <t>15-OKŘ</t>
  </si>
  <si>
    <t>108/21/RK</t>
  </si>
  <si>
    <t>31/21/ZK</t>
  </si>
  <si>
    <t>212/21/RK</t>
  </si>
  <si>
    <t>213/21/RK</t>
  </si>
  <si>
    <t>214/21/RK</t>
  </si>
  <si>
    <t>215/21/RK</t>
  </si>
  <si>
    <t>103/21/mRK</t>
  </si>
  <si>
    <t>44/21/ZK</t>
  </si>
  <si>
    <t>142/21/RK</t>
  </si>
  <si>
    <t>68/21/ZK</t>
  </si>
  <si>
    <t>69/21/ZK</t>
  </si>
  <si>
    <t>152/21/RK</t>
  </si>
  <si>
    <t>203/21/RK</t>
  </si>
  <si>
    <t>219/21/RK</t>
  </si>
  <si>
    <t>137/21/RK</t>
  </si>
  <si>
    <t>308/21/RK</t>
  </si>
  <si>
    <t>362/21/RK</t>
  </si>
  <si>
    <t>280/21/RK</t>
  </si>
  <si>
    <t>264/21/RK</t>
  </si>
  <si>
    <t>243/21/RK</t>
  </si>
  <si>
    <t>320/21/ZK</t>
  </si>
  <si>
    <t>309/21/RK</t>
  </si>
  <si>
    <t>389/21/RK</t>
  </si>
  <si>
    <t>363/21/RK</t>
  </si>
  <si>
    <t>390/21/RK</t>
  </si>
  <si>
    <t>545/21/RK</t>
  </si>
  <si>
    <t>119/21/ZK</t>
  </si>
  <si>
    <t>297/21/RK</t>
  </si>
  <si>
    <t>319/21/RK</t>
  </si>
  <si>
    <t>340/21/RK</t>
  </si>
  <si>
    <t>124/21/ZK</t>
  </si>
  <si>
    <t>332/21/RK</t>
  </si>
  <si>
    <t>333/21/RK</t>
  </si>
  <si>
    <t>107/21/ZK</t>
  </si>
  <si>
    <t>32/21/ZK</t>
  </si>
  <si>
    <t>472/21/RK</t>
  </si>
  <si>
    <t>420/21/RK</t>
  </si>
  <si>
    <t>140/21/ZK</t>
  </si>
  <si>
    <t>133/21/ZK</t>
  </si>
  <si>
    <t>128/21/ZK</t>
  </si>
  <si>
    <t>485/21/RK</t>
  </si>
  <si>
    <t>486/21/RK</t>
  </si>
  <si>
    <t>475/21/RK</t>
  </si>
  <si>
    <t>408/21/RK</t>
  </si>
  <si>
    <t>476/21/RK</t>
  </si>
  <si>
    <t>131/21/ZK</t>
  </si>
  <si>
    <t>428/21/RK</t>
  </si>
  <si>
    <t>130/21/ZK</t>
  </si>
  <si>
    <t>139/21/ZK</t>
  </si>
  <si>
    <t>141/21/ZK</t>
  </si>
  <si>
    <t>91/21/ZK</t>
  </si>
  <si>
    <t>142/21/ZK</t>
  </si>
  <si>
    <t>143/21/ZK</t>
  </si>
  <si>
    <t>144/21/ZK</t>
  </si>
  <si>
    <t>508/21/RK</t>
  </si>
  <si>
    <t>633/21/RK</t>
  </si>
  <si>
    <t>166/21/ZK</t>
  </si>
  <si>
    <t>546/21/RK</t>
  </si>
  <si>
    <t>609/21/RK</t>
  </si>
  <si>
    <t>180/21/ZK</t>
  </si>
  <si>
    <t>516/21/RK</t>
  </si>
  <si>
    <t>500/21/RK</t>
  </si>
  <si>
    <t>547/21/RK</t>
  </si>
  <si>
    <t>513/21/RK</t>
  </si>
  <si>
    <t>548/21/RK</t>
  </si>
  <si>
    <t>600/21/RK</t>
  </si>
  <si>
    <t>601/21/RK</t>
  </si>
  <si>
    <t>604/21/RK</t>
  </si>
  <si>
    <t>605/21/RK</t>
  </si>
  <si>
    <t>678/21/RK</t>
  </si>
  <si>
    <t>611/21/RK</t>
  </si>
  <si>
    <t>175/21/ZK</t>
  </si>
  <si>
    <t>217/21/ZK</t>
  </si>
  <si>
    <t>182/21/ZK</t>
  </si>
  <si>
    <t>679/21/RK</t>
  </si>
  <si>
    <t>660/21/RK</t>
  </si>
  <si>
    <t>661/21/RK</t>
  </si>
  <si>
    <t>674/21/RK</t>
  </si>
  <si>
    <t>675/21/RK</t>
  </si>
  <si>
    <t>185/21/ZK</t>
  </si>
  <si>
    <t>698/21/RK</t>
  </si>
  <si>
    <t>708/21/RK</t>
  </si>
  <si>
    <t>222/21/ZK</t>
  </si>
  <si>
    <t>227/21/ZK</t>
  </si>
  <si>
    <t>740/21/RK</t>
  </si>
  <si>
    <t>216/21/ZK</t>
  </si>
  <si>
    <t>724/21/RK</t>
  </si>
  <si>
    <t>219/21/ZK</t>
  </si>
  <si>
    <t>712/21/RK</t>
  </si>
  <si>
    <t>223/21/ZK</t>
  </si>
  <si>
    <t>224/21/ZK</t>
  </si>
  <si>
    <t>745/21/RK</t>
  </si>
  <si>
    <t>202/21/ZK</t>
  </si>
  <si>
    <t>196/21/ZK</t>
  </si>
  <si>
    <t>195/21/ZK</t>
  </si>
  <si>
    <t>718/21/RK</t>
  </si>
  <si>
    <t>737/21/RK</t>
  </si>
  <si>
    <t>738/21/RK</t>
  </si>
  <si>
    <t>739/21/RK</t>
  </si>
  <si>
    <t>268/21/ZK</t>
  </si>
  <si>
    <t>270/21/ZK</t>
  </si>
  <si>
    <t>877/21/RK</t>
  </si>
  <si>
    <t>875/21/RK</t>
  </si>
  <si>
    <t>844/21/RK</t>
  </si>
  <si>
    <t>273/21/ZK</t>
  </si>
  <si>
    <t>833/21/RK</t>
  </si>
  <si>
    <t>283/21/ZK</t>
  </si>
  <si>
    <t>231/21/ZK</t>
  </si>
  <si>
    <t>878/21/RK</t>
  </si>
  <si>
    <t>821/21/RK</t>
  </si>
  <si>
    <t>235/21/ZK</t>
  </si>
  <si>
    <t>275/21/ZK</t>
  </si>
  <si>
    <t>811/21/RK</t>
  </si>
  <si>
    <t>812/21/RK</t>
  </si>
  <si>
    <t>197/21/ZK</t>
  </si>
  <si>
    <t>232/21/ZK</t>
  </si>
  <si>
    <t>894/21/RK</t>
  </si>
  <si>
    <t>271/21/ZK</t>
  </si>
  <si>
    <t>895/21/RK</t>
  </si>
  <si>
    <t>277/21/ZK</t>
  </si>
  <si>
    <t>279/21/ZK</t>
  </si>
  <si>
    <t>287/21/ZK</t>
  </si>
  <si>
    <t>896/21/RK</t>
  </si>
  <si>
    <t>289/21/ZK</t>
  </si>
  <si>
    <t>924/21/RK</t>
  </si>
  <si>
    <t>925/21/RK</t>
  </si>
  <si>
    <t>926/21/RK</t>
  </si>
  <si>
    <t>1069/21/RK</t>
  </si>
  <si>
    <t>245/21/ZK</t>
  </si>
  <si>
    <t>246/21/ZK</t>
  </si>
  <si>
    <t>248/21/ZK</t>
  </si>
  <si>
    <t>249/21/ZK</t>
  </si>
  <si>
    <t>250/21/ZK</t>
  </si>
  <si>
    <t>276/21/ZK</t>
  </si>
  <si>
    <t>302/21/ZK</t>
  </si>
  <si>
    <t>293/21/ZK</t>
  </si>
  <si>
    <t>292/21/ZK</t>
  </si>
  <si>
    <t>294/21/ZK</t>
  </si>
  <si>
    <t>295/21/ZK</t>
  </si>
  <si>
    <t>1143/21/RK</t>
  </si>
  <si>
    <t>296/21/ZK</t>
  </si>
  <si>
    <t>1002/21/RK</t>
  </si>
  <si>
    <t>1064/21/RK</t>
  </si>
  <si>
    <t>1076/21/RK</t>
  </si>
  <si>
    <t>999/21/RK</t>
  </si>
  <si>
    <t>1000/21/RK</t>
  </si>
  <si>
    <t>1001/21/RK</t>
  </si>
  <si>
    <t>299/21/ZK</t>
  </si>
  <si>
    <t>1005/21/RK</t>
  </si>
  <si>
    <t>1004/21/RK</t>
  </si>
  <si>
    <t>1060/21/RK</t>
  </si>
  <si>
    <t>1020/21/RK</t>
  </si>
  <si>
    <t>1055/21/RK</t>
  </si>
  <si>
    <t>1021/21/RK</t>
  </si>
  <si>
    <t>1022/21/RK</t>
  </si>
  <si>
    <t>1023/21/RK</t>
  </si>
  <si>
    <t>247/21/ZK</t>
  </si>
  <si>
    <t>1084/21/RK</t>
  </si>
  <si>
    <t>1074/21/RK</t>
  </si>
  <si>
    <t>1046/21/RK</t>
  </si>
  <si>
    <t>1047/21/RK</t>
  </si>
  <si>
    <t>1045/21/RK</t>
  </si>
  <si>
    <t>1100/21/RK</t>
  </si>
  <si>
    <t>1141/21/RK</t>
  </si>
  <si>
    <t>1096/21/RK</t>
  </si>
  <si>
    <t>323/21/ZK</t>
  </si>
  <si>
    <t>1130/21/RK</t>
  </si>
  <si>
    <t>1113/21/RK</t>
  </si>
  <si>
    <t>1114/21/RK</t>
  </si>
  <si>
    <t>1118/21/RK</t>
  </si>
  <si>
    <t>1119/21/RK</t>
  </si>
  <si>
    <t>1120/21/RK</t>
  </si>
  <si>
    <t>1121/21/RK</t>
  </si>
  <si>
    <t>1197/21/RK</t>
  </si>
  <si>
    <t>355/21/ZK</t>
  </si>
  <si>
    <t>1161/21/RK</t>
  </si>
  <si>
    <t>349/21/ZK</t>
  </si>
  <si>
    <t>1164/21/RK</t>
  </si>
  <si>
    <t>1172/21/RK</t>
  </si>
  <si>
    <t>361/21/ZK</t>
  </si>
  <si>
    <t>350/21/ZK</t>
  </si>
  <si>
    <t>1152/21/RK</t>
  </si>
  <si>
    <t>1153/21/RK</t>
  </si>
  <si>
    <t>379/21/ZK</t>
  </si>
  <si>
    <t>1149/21/RK</t>
  </si>
  <si>
    <t>1179/21/RK</t>
  </si>
  <si>
    <t>1178/21/RK</t>
  </si>
  <si>
    <t>1180/21/RK</t>
  </si>
  <si>
    <t>1181/21/RK</t>
  </si>
  <si>
    <t>344/21/ZK</t>
  </si>
  <si>
    <t>1239/21/RK</t>
  </si>
  <si>
    <t>1217/21/RK</t>
  </si>
  <si>
    <t>372/21/ZK</t>
  </si>
  <si>
    <t>1450/21/RK</t>
  </si>
  <si>
    <t>352/21/ZK</t>
  </si>
  <si>
    <t>371/21/ZK</t>
  </si>
  <si>
    <t>375/21/ZK</t>
  </si>
  <si>
    <t>1279/21/RK</t>
  </si>
  <si>
    <t>1327/21/RK</t>
  </si>
  <si>
    <t>1274/21/RK</t>
  </si>
  <si>
    <t>356/21/ZK</t>
  </si>
  <si>
    <t>357/21/ZK</t>
  </si>
  <si>
    <t>1269/21/RK</t>
  </si>
  <si>
    <t>362/21/ZK</t>
  </si>
  <si>
    <t>1263/21/RK</t>
  </si>
  <si>
    <t>376/21/ZK</t>
  </si>
  <si>
    <t>1305/21/RK</t>
  </si>
  <si>
    <t>1306/21/RK</t>
  </si>
  <si>
    <t>380/21/ZK</t>
  </si>
  <si>
    <t>1296/21/RK</t>
  </si>
  <si>
    <t>1396/21/RK</t>
  </si>
  <si>
    <t>1397/21/RK</t>
  </si>
  <si>
    <t>1350/21/RK</t>
  </si>
  <si>
    <t>1403/21/RK</t>
  </si>
  <si>
    <t>1374/21/RK</t>
  </si>
  <si>
    <t>343/21/ZK</t>
  </si>
  <si>
    <t>1392/21/RK</t>
  </si>
  <si>
    <t>1352/21/RK</t>
  </si>
  <si>
    <t>1365/21/RK</t>
  </si>
  <si>
    <t>412/21/ZK</t>
  </si>
  <si>
    <t>324/21/ZK</t>
  </si>
  <si>
    <t>1387/21/RK</t>
  </si>
  <si>
    <t>1391/21/RK</t>
  </si>
  <si>
    <t>1389/21/RK</t>
  </si>
  <si>
    <t>1415/21/RK</t>
  </si>
  <si>
    <t>1529/21/RK</t>
  </si>
  <si>
    <t>1486/21/RK</t>
  </si>
  <si>
    <t>404/21/ZK</t>
  </si>
  <si>
    <t>402/21/ZK</t>
  </si>
  <si>
    <t>1470/21/RK</t>
  </si>
  <si>
    <t>394/21/ZK</t>
  </si>
  <si>
    <t>396/21/ZK</t>
  </si>
  <si>
    <t>397/21/ZK</t>
  </si>
  <si>
    <t>1451/21/RK</t>
  </si>
  <si>
    <t>1452/21/RK</t>
  </si>
  <si>
    <t>1497/21/RK</t>
  </si>
  <si>
    <t>1498/21/RK</t>
  </si>
  <si>
    <t>1420/21/RK</t>
  </si>
  <si>
    <t>1421/21/RK</t>
  </si>
  <si>
    <t>1428/21/RK</t>
  </si>
  <si>
    <t>1437/21/RK</t>
  </si>
  <si>
    <t>392/21/ZK</t>
  </si>
  <si>
    <t>409/21/ZK</t>
  </si>
  <si>
    <t>406/21/ZK</t>
  </si>
  <si>
    <t>1519/21/RK</t>
  </si>
  <si>
    <t>411/21/ZK</t>
  </si>
  <si>
    <t>1530/21/RK</t>
  </si>
  <si>
    <t>1538/21/RK</t>
  </si>
  <si>
    <t>413/21/ZK</t>
  </si>
  <si>
    <t>1523/21/RK</t>
  </si>
  <si>
    <t>1535/21/RK</t>
  </si>
  <si>
    <t>1544/21/RK</t>
  </si>
  <si>
    <t>1518/21/RK</t>
  </si>
  <si>
    <t>1531/21/RK</t>
  </si>
  <si>
    <t>1511/21/RK</t>
  </si>
  <si>
    <t>1559/21/RK</t>
  </si>
  <si>
    <t>447/21/ZK</t>
  </si>
  <si>
    <t>448/21/ZK</t>
  </si>
  <si>
    <t>449/21/ZK</t>
  </si>
  <si>
    <t>1573/21/RK</t>
  </si>
  <si>
    <t>458/21/ZK</t>
  </si>
  <si>
    <t>1596/21/RK</t>
  </si>
  <si>
    <t>1597/21/RK</t>
  </si>
  <si>
    <t>457/21/ZK</t>
  </si>
  <si>
    <t>1616/21/RK</t>
  </si>
  <si>
    <t>1598/21/RK</t>
  </si>
  <si>
    <t>1599/21/RK</t>
  </si>
  <si>
    <t>1629/21/RK</t>
  </si>
  <si>
    <t>1639/21/RK</t>
  </si>
  <si>
    <t>1571/21/RK</t>
  </si>
  <si>
    <t>1600/21/RK</t>
  </si>
  <si>
    <t>463/21/ZK</t>
  </si>
  <si>
    <t>464/21/ZK</t>
  </si>
  <si>
    <t>414/21/ZK</t>
  </si>
  <si>
    <t>1580/21/RK</t>
  </si>
  <si>
    <t>459/21/ZK</t>
  </si>
  <si>
    <t>460/21/ZK</t>
  </si>
  <si>
    <t>461/21/ZK</t>
  </si>
  <si>
    <t>1660/21/RK</t>
  </si>
  <si>
    <t>1620/21/RK</t>
  </si>
  <si>
    <t>1621/21/RK</t>
  </si>
  <si>
    <t>456/21/ZK</t>
  </si>
  <si>
    <t>1667/21/RK</t>
  </si>
  <si>
    <t>473/21/ZK</t>
  </si>
  <si>
    <t>1684/21/RK</t>
  </si>
  <si>
    <t>507/21/ZK</t>
  </si>
  <si>
    <t>1699/21/RK</t>
  </si>
  <si>
    <t>1700/21/RK</t>
  </si>
  <si>
    <t>1723/21/RK</t>
  </si>
  <si>
    <t>1695/21/RK</t>
  </si>
  <si>
    <t>1685/21/RK</t>
  </si>
  <si>
    <t>1734/21/RK</t>
  </si>
  <si>
    <t>1701/21/RK</t>
  </si>
  <si>
    <t>1702/21/RK</t>
  </si>
  <si>
    <t>1709/21/RK</t>
  </si>
  <si>
    <t>471/21/ZK</t>
  </si>
  <si>
    <t>472/21/ZK</t>
  </si>
  <si>
    <t>1676/21/RK</t>
  </si>
  <si>
    <t>1727/21/RK</t>
  </si>
  <si>
    <t>1703/21/RK</t>
  </si>
  <si>
    <t>495/21/ZK</t>
  </si>
  <si>
    <t>496/21/ZK</t>
  </si>
  <si>
    <t>1694/21/RK</t>
  </si>
  <si>
    <t>1811/21/RK</t>
  </si>
  <si>
    <t>1789/21/RK</t>
  </si>
  <si>
    <t>518/21/ZK</t>
  </si>
  <si>
    <t>1768/21/RK</t>
  </si>
  <si>
    <t>1752/21/RK</t>
  </si>
  <si>
    <t>520/21/ZK</t>
  </si>
  <si>
    <t>476/21/ZK</t>
  </si>
  <si>
    <t>497/21/ZK</t>
  </si>
  <si>
    <t>1788/21/RK</t>
  </si>
  <si>
    <t>1800/21/RK</t>
  </si>
  <si>
    <t>1835/21/RK</t>
  </si>
  <si>
    <t>1890/21/RK</t>
  </si>
  <si>
    <t>498/21/ZK</t>
  </si>
  <si>
    <t>1791/21/RK</t>
  </si>
  <si>
    <t>1846/21/mRK</t>
  </si>
  <si>
    <t>1836/21/RK</t>
  </si>
  <si>
    <t>1854/21/RK</t>
  </si>
  <si>
    <t>1801/21/RK</t>
  </si>
  <si>
    <t>514/21/ZK</t>
  </si>
  <si>
    <t>1864/21/RK</t>
  </si>
  <si>
    <t>1889/21/RK</t>
  </si>
  <si>
    <t>517/21/ZK</t>
  </si>
  <si>
    <t>1865/21/RK</t>
  </si>
  <si>
    <t>1883/21/RK</t>
  </si>
  <si>
    <t>1852/21/RK</t>
  </si>
  <si>
    <t>1853/21/RK</t>
  </si>
  <si>
    <t>1917/21/RK</t>
  </si>
  <si>
    <t>1922/21/RK</t>
  </si>
  <si>
    <t>1923/21/RK</t>
  </si>
  <si>
    <t>525/21/ZK</t>
  </si>
  <si>
    <t>1918/21/RK</t>
  </si>
  <si>
    <t>523/21/ZK</t>
  </si>
  <si>
    <t>524/21/ZK</t>
  </si>
  <si>
    <t>1885/21/RK</t>
  </si>
  <si>
    <t>553/21/ZK</t>
  </si>
  <si>
    <t>1977/21/RK</t>
  </si>
  <si>
    <t>2001/21/RK</t>
  </si>
  <si>
    <t>565/21/ZK</t>
  </si>
  <si>
    <t>2052/21/RK</t>
  </si>
  <si>
    <t>1978/21/RK</t>
  </si>
  <si>
    <t>1950/21/RK</t>
  </si>
  <si>
    <t>2163/21/mRK</t>
  </si>
  <si>
    <t>1979/21/RK</t>
  </si>
  <si>
    <t>1935/21/mRK</t>
  </si>
  <si>
    <t>2007/21/RK</t>
  </si>
  <si>
    <t>568/21/ZK</t>
  </si>
  <si>
    <t>2053/21/RK</t>
  </si>
  <si>
    <t>1980/21/RK</t>
  </si>
  <si>
    <t>2026/21/RK</t>
  </si>
  <si>
    <t>571/21/ZK</t>
  </si>
  <si>
    <t>554/21/ZK</t>
  </si>
  <si>
    <t>1981/21/RK</t>
  </si>
  <si>
    <t>1982/21/RK</t>
  </si>
  <si>
    <t>2012/21/RK</t>
  </si>
  <si>
    <t>2013/21/RK</t>
  </si>
  <si>
    <t>1992/21/RK</t>
  </si>
  <si>
    <t>2004/21/RK</t>
  </si>
  <si>
    <t>579/21/ZK</t>
  </si>
  <si>
    <t>2131/21/RK</t>
  </si>
  <si>
    <t>2160/21/mRK</t>
  </si>
  <si>
    <t>580/21/ZK</t>
  </si>
  <si>
    <t>2102/21/RK</t>
  </si>
  <si>
    <t>2103/21/RK</t>
  </si>
  <si>
    <t>2104/21/RK</t>
  </si>
  <si>
    <t>2082/21/RK</t>
  </si>
  <si>
    <t>2128/21/RK</t>
  </si>
  <si>
    <t>575/21/ZK</t>
  </si>
  <si>
    <t>577/21/ZK</t>
  </si>
  <si>
    <t>578/21/ZK</t>
  </si>
  <si>
    <t>2081/21/RK</t>
  </si>
  <si>
    <t>2122/21/RK</t>
  </si>
  <si>
    <t>581/21/ZK</t>
  </si>
  <si>
    <t>2146/21/RK</t>
  </si>
  <si>
    <t>2123/21/RK</t>
  </si>
  <si>
    <t>2112/21/RK</t>
  </si>
  <si>
    <t>2090/21/RK</t>
  </si>
  <si>
    <t>2149/21/RK</t>
  </si>
  <si>
    <t>2159/21/mRK</t>
  </si>
  <si>
    <t>2161/21/mRK</t>
  </si>
  <si>
    <t>1957/21/RK</t>
  </si>
  <si>
    <t xml:space="preserve">Finanční vypořádání kapitoly 317 – Ministerstvo pro místní rozvoj </t>
  </si>
  <si>
    <t>17039</t>
  </si>
  <si>
    <t>COVID-Ubytování - obce</t>
  </si>
  <si>
    <t>17041</t>
  </si>
  <si>
    <t>COVID-školy v přírodě</t>
  </si>
  <si>
    <t>ministerstvo místní rozvoj celkem</t>
  </si>
  <si>
    <t>DP k podpoře rekr.pobytů dětí a mládeže DD</t>
  </si>
  <si>
    <t>Výdaje spojené s epidemií COVID-19</t>
  </si>
  <si>
    <t>Spolu po COVIDU</t>
  </si>
  <si>
    <t>ISO II/B evidence a dokumentace mov.kult.maj.</t>
  </si>
  <si>
    <t>Aktivizační fond - IV</t>
  </si>
  <si>
    <t>Systém ochrany kulturního dědictví</t>
  </si>
  <si>
    <t>Veř.inf. služby knih.-investice</t>
  </si>
  <si>
    <t>Zajištění mimoř. a krizových situací</t>
  </si>
  <si>
    <t>Peněžní náhrady za naříz.výkon prac.povinnosti</t>
  </si>
  <si>
    <t>COVID-19 ohodnocení</t>
  </si>
  <si>
    <t>Prevence negat.zátěže Covid-19 poskyt.lůžk.péče</t>
  </si>
  <si>
    <t>Podp.rozvoje a obnovy MTV pro řešení kriz.situací</t>
  </si>
  <si>
    <t>Volby do Parlamentu ČR</t>
  </si>
  <si>
    <t>Volby do ZO Slunečná (18.9.2021)</t>
  </si>
  <si>
    <t>Volby do ZO Nová Ves (Lbc, 11.12.2021)</t>
  </si>
  <si>
    <t>Přehled poskytnutých účelových dotací v roce 2021, které podléhají vypořádání s poskytovatelem v následujících rozpočtových obdobích nebo jsou proplaceny  zpětně za již vynaložené výdaje kraje a účelových dotací poskytnutých ze státních fondů</t>
  </si>
  <si>
    <t>Ztráta dopravce z prov. veř. osobní drážní dopravy</t>
  </si>
  <si>
    <t>Finanční mechanismy - SFŽP</t>
  </si>
  <si>
    <t>Finanční mechanismy - Norské fondy</t>
  </si>
  <si>
    <t>Rekapitulace poskytnutých dotací podle resortů za rok 2021</t>
  </si>
  <si>
    <t>Přehled poskytnutých účelových dotací v roce 2021, které podléhají vypořádání s poskytovatelem v následujících rozpočtových obdobích nebo jsou proplaceny zpětně za již vynaložené výdaje kraje a účelových dotací poskytnutých ze státních fondů</t>
  </si>
  <si>
    <t>397/22/RK</t>
  </si>
  <si>
    <t>398/22/RK</t>
  </si>
  <si>
    <t>414/22/RK</t>
  </si>
  <si>
    <t>Příspěvkové organizace se zhoršeným hospodářským výsledkem roku 2021</t>
  </si>
  <si>
    <t>517/22/RK</t>
  </si>
  <si>
    <t>Příspěvkové organizace se zlepšeným (resp. nezáporným) hospodářským výsledkem roku 2021</t>
  </si>
  <si>
    <t xml:space="preserve"> k 31.12.2021</t>
  </si>
  <si>
    <t>HV 2021 (v Kč)</t>
  </si>
  <si>
    <t>Gymnázium Mimoň, Letná 263</t>
  </si>
  <si>
    <t>Pedagogicko-psychologická poradna, Česká Lípa, Havlíčkova 443</t>
  </si>
  <si>
    <t>Školní statek Frýdlant</t>
  </si>
  <si>
    <t>Střední škola, Lomnice nad popelkou, Antala Staška 213</t>
  </si>
  <si>
    <t>Střední zdravotnická škola a Střední odborná škola, Česká Lípa</t>
  </si>
  <si>
    <t>Střední uměleckoprůmyslová škola sklářská, Železný brod, Smetanovo zátiší 470</t>
  </si>
  <si>
    <t>Střední uměleckoprůmyslová škola sklářská Kamenický Šenov, Havlíčkova 57</t>
  </si>
  <si>
    <t>Speciálně pedagogické centrum logopedické a surdopedické</t>
  </si>
  <si>
    <t>Základní škola speciální Semily, Nádražní 213</t>
  </si>
  <si>
    <t>rozdělení zlepšeného HV 2021</t>
  </si>
  <si>
    <t>573/22/RK</t>
  </si>
  <si>
    <t xml:space="preserve">Botanická zahrada Liberec – LK, </t>
  </si>
  <si>
    <t>Zoo Liberec</t>
  </si>
  <si>
    <t>614/22/RK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</si>
  <si>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zdravotnictví</t>
    </r>
  </si>
  <si>
    <t>469/22/RK</t>
  </si>
  <si>
    <t>Jedličkův ústav</t>
  </si>
  <si>
    <t>Denní a pobytové sociální služby,</t>
  </si>
  <si>
    <t>ztráta z hospodaření 2021</t>
  </si>
  <si>
    <t>příspěvkové organizace v resortu sociálních věcí - mezisoučet</t>
  </si>
  <si>
    <t>příspěvkové organizace v resortu sociálních věcí - přenos</t>
  </si>
  <si>
    <t>Vyšší odborná škola sklářská a Střední škola, Nový Bor, Wolkerova 316</t>
  </si>
  <si>
    <t>Příspěvkové organizace s nezáporným výsledkem hospodaření za rok 2021</t>
  </si>
  <si>
    <t>Příspěvkové organizace se záporným výsledkem hospodaření za rok 2021</t>
  </si>
  <si>
    <t>827/22/RK</t>
  </si>
  <si>
    <t>333 737 174,00</t>
  </si>
  <si>
    <t>22/2</t>
  </si>
  <si>
    <t>Dotační fond kraje za rok 2021</t>
  </si>
  <si>
    <t>Krizový fond kraje za rok 2021</t>
  </si>
  <si>
    <t>Lesnický fond kraje za rok 2021</t>
  </si>
  <si>
    <t>Fond ochrany vod kraje za rok 2021</t>
  </si>
  <si>
    <t xml:space="preserve">Celkem příjmová a výdajová část rozpočtu 2021 upravena o </t>
  </si>
  <si>
    <t>Přijatá rozpočtová opatření  a jejich vliv na celkový objem schváleného rozpočtu kraje 2021</t>
  </si>
  <si>
    <t>Přijatá rozpočtová opatření upravující schválený rozpočet 2021</t>
  </si>
  <si>
    <t>Tvorba příjmů upraveného rozpočtu kraje 2021</t>
  </si>
  <si>
    <t>Čerpání účelových dotací podléhajících finančnímu vypořádání za rok 2021</t>
  </si>
  <si>
    <t>Přehled poskytnutých účelových dotací nevypořádávaných za rok 2021</t>
  </si>
  <si>
    <t>Přehled čerpání účelových dotací podléhajících finančnímu vypořádání                                                       v rozpočtu kraje 2021</t>
  </si>
  <si>
    <t>Úhrada úroků, poplatků a výdaje za rezervaci zdrojů</t>
  </si>
  <si>
    <t xml:space="preserve">Zadluženost kraje CELKEM (nesplacený zůstatek jistin, závazků) </t>
  </si>
  <si>
    <r>
      <t xml:space="preserve">Komplexní revitalizace mostů na silnicích II. a III. tř. na území LK     </t>
    </r>
    <r>
      <rPr>
        <b/>
        <sz val="8"/>
        <rFont val="Arial"/>
        <family val="2"/>
        <charset val="238"/>
      </rPr>
      <t xml:space="preserve"> </t>
    </r>
  </si>
  <si>
    <r>
      <t xml:space="preserve">Revitalizace pozemních komunikací na území LK    </t>
    </r>
    <r>
      <rPr>
        <b/>
        <sz val="8"/>
        <rFont val="Arial"/>
        <family val="2"/>
        <charset val="238"/>
      </rPr>
      <t xml:space="preserve"> </t>
    </r>
  </si>
  <si>
    <t>Daňové příjmy, úhrada úroků a poplatků vychází ze zastupitelstvem schváleného rozpočtového výhledu na období let 2022-2025, resp. nárůst daňových příjmů v roce 2023 o 8,5 %,  v dlaších letech o 3 %</t>
  </si>
  <si>
    <r>
      <t>RO č. 12/22 - Školství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923 04 </t>
    </r>
    <r>
      <rPr>
        <sz val="9"/>
        <rFont val="Arial"/>
        <family val="2"/>
        <charset val="238"/>
      </rPr>
      <t>- Spolufinancování EU - projekty NAKAP LK II, KAP LK a KAP LK II</t>
    </r>
    <r>
      <rPr>
        <b/>
        <sz val="9"/>
        <rFont val="Arial"/>
        <family val="2"/>
        <charset val="238"/>
      </rPr>
      <t xml:space="preserve"> -</t>
    </r>
    <r>
      <rPr>
        <sz val="9"/>
        <rFont val="Arial"/>
        <family val="2"/>
        <charset val="238"/>
      </rPr>
      <t xml:space="preserve"> převod nedočerpaných dotačních prostředků poskytnutých v roce 2021 a v předchozích letech z OP VVV  2014+</t>
    </r>
    <r>
      <rPr>
        <b/>
        <sz val="9"/>
        <rFont val="Arial"/>
        <family val="2"/>
        <charset val="238"/>
      </rPr>
      <t xml:space="preserve">, </t>
    </r>
    <r>
      <rPr>
        <sz val="9"/>
        <rFont val="Arial"/>
        <family val="2"/>
        <charset val="238"/>
      </rPr>
      <t>které jsou účelově určeny k realizaci neinvestičních projektů naplňujících Dlouhodobý záměr vzdělávání a rozvoje vzdělávací soustavy LK</t>
    </r>
  </si>
  <si>
    <r>
      <t>RO č. 15/22 - Sociální věci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923 05 </t>
    </r>
    <r>
      <rPr>
        <sz val="9"/>
        <rFont val="Arial"/>
        <family val="2"/>
        <charset val="238"/>
      </rPr>
      <t>- Spolufinancování EU, projekt „Systémová podpora práce s rodinou v Libereckém kraji“, převod nevyužitých finančních prostředků z roku 2021 do rozpočtu 2022, na úhradu závazků potřebných pro realizaci tohoto projektu po dobu jeho trvání</t>
    </r>
  </si>
  <si>
    <r>
      <t>RO č. 17/22 - Hejtman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931 01</t>
    </r>
    <r>
      <rPr>
        <sz val="9"/>
        <rFont val="Arial"/>
        <family val="2"/>
        <charset val="238"/>
      </rPr>
      <t xml:space="preserve"> - Krizový fond a</t>
    </r>
    <r>
      <rPr>
        <b/>
        <sz val="9"/>
        <rFont val="Arial"/>
        <family val="2"/>
        <charset val="238"/>
      </rPr>
      <t xml:space="preserve"> 914 01</t>
    </r>
    <r>
      <rPr>
        <sz val="9"/>
        <rFont val="Arial"/>
        <family val="2"/>
        <charset val="238"/>
      </rPr>
      <t xml:space="preserve"> - Působnosti,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převod zůstatku finančních prostředků na samostatném bankovním účtu Krizového fondu, převod neuhrazeného smluvního závazku se splatností v roce 2022</t>
    </r>
  </si>
  <si>
    <r>
      <t>RO č. 18/22 - Hejtman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926 01 </t>
    </r>
    <r>
      <rPr>
        <sz val="9"/>
        <rFont val="Arial"/>
        <family val="2"/>
        <charset val="238"/>
      </rPr>
      <t xml:space="preserve">- Dotační fond, přechod financování schválených akcí z roku 2021 do roku 2022 a převod úspor z ukončených nebo nerealizovaných akcí a převod nespecifikovaných rezerv programů na jednotlivé programy </t>
    </r>
  </si>
  <si>
    <r>
      <t>RO č. 26/22 - Životní prostředí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 xml:space="preserve">926 08 </t>
    </r>
    <r>
      <rPr>
        <sz val="9"/>
        <rFont val="Arial"/>
        <family val="2"/>
        <charset val="238"/>
      </rPr>
      <t xml:space="preserve">- Dotační fond a kap. </t>
    </r>
    <r>
      <rPr>
        <b/>
        <sz val="9"/>
        <rFont val="Arial"/>
        <family val="2"/>
        <charset val="238"/>
      </rPr>
      <t xml:space="preserve">926 02 </t>
    </r>
    <r>
      <rPr>
        <sz val="9"/>
        <rFont val="Arial"/>
        <family val="2"/>
        <charset val="238"/>
      </rPr>
      <t>- Dotační fond, převod rezerv a akcí schválených k financování a zcela neprofinancovaných v roce 2021 v jednotlivých dotačních programech</t>
    </r>
  </si>
  <si>
    <r>
      <t xml:space="preserve">RO č. 36/22 - Silniční hospodářství </t>
    </r>
    <r>
      <rPr>
        <sz val="9"/>
        <rFont val="Arial"/>
        <family val="2"/>
        <charset val="238"/>
      </rPr>
      <t>- zapojení do kap.</t>
    </r>
    <r>
      <rPr>
        <b/>
        <sz val="9"/>
        <rFont val="Arial"/>
        <family val="2"/>
        <charset val="238"/>
      </rPr>
      <t xml:space="preserve"> 917 06</t>
    </r>
    <r>
      <rPr>
        <sz val="9"/>
        <rFont val="Arial"/>
        <family val="2"/>
        <charset val="238"/>
      </rPr>
      <t xml:space="preserve"> - Transfery, převod finančních prostředků na akce schválené v roce 2021 a jejichž plnění bude realizováno v roce 2022</t>
    </r>
  </si>
  <si>
    <r>
      <t xml:space="preserve">RO č. 42/22 - Kancelář ředitele </t>
    </r>
    <r>
      <rPr>
        <sz val="9"/>
        <rFont val="Arial"/>
        <family val="2"/>
        <charset val="238"/>
      </rPr>
      <t xml:space="preserve">- zapojení do kap. </t>
    </r>
    <r>
      <rPr>
        <b/>
        <sz val="9"/>
        <rFont val="Arial"/>
        <family val="2"/>
        <charset val="238"/>
      </rPr>
      <t xml:space="preserve">910 15 </t>
    </r>
    <r>
      <rPr>
        <sz val="9"/>
        <rFont val="Arial"/>
        <family val="2"/>
        <charset val="238"/>
      </rPr>
      <t xml:space="preserve">- Zastupitelstvo, do kap. </t>
    </r>
    <r>
      <rPr>
        <b/>
        <sz val="9"/>
        <rFont val="Arial"/>
        <family val="2"/>
        <charset val="238"/>
      </rPr>
      <t xml:space="preserve">911 15 - Krajský úřad </t>
    </r>
    <r>
      <rPr>
        <sz val="9"/>
        <rFont val="Arial"/>
        <family val="2"/>
        <charset val="238"/>
      </rPr>
      <t xml:space="preserve">a kap. </t>
    </r>
    <r>
      <rPr>
        <b/>
        <sz val="9"/>
        <rFont val="Arial"/>
        <family val="2"/>
        <charset val="238"/>
      </rPr>
      <t>920 15</t>
    </r>
    <r>
      <rPr>
        <sz val="9"/>
        <rFont val="Arial"/>
        <family val="2"/>
        <charset val="238"/>
      </rPr>
      <t xml:space="preserve"> - Kapitálové výdaje, převod financování k akcím schváleným v roce 2021 a mají charakter smluvního nebo obdobného závazku, závazné objednávky nebo usnesení, a nebyly do 31. 12. 2021 zcela profinancovány</t>
    </r>
  </si>
  <si>
    <r>
      <t>RO č. 45/22 - Školství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926 04</t>
    </r>
    <r>
      <rPr>
        <sz val="9"/>
        <rFont val="Arial"/>
        <family val="2"/>
        <charset val="238"/>
      </rPr>
      <t xml:space="preserve"> - Dotační fond, přechod financování schválených akcí z roku 2021 do roku 2022, resp. z titulu převodu úspor z ukončených nebo nerealizovaných akcí do rezerv příslušných programů včetně přijatých vratek a sankčních plateb s nimi souvisejících</t>
    </r>
  </si>
  <si>
    <r>
      <rPr>
        <b/>
        <sz val="9"/>
        <rFont val="Arial"/>
        <family val="2"/>
        <charset val="238"/>
      </rPr>
      <t>RO č. 6/22 - Regionální rozvoj</t>
    </r>
    <r>
      <rPr>
        <sz val="9"/>
        <rFont val="Arial"/>
        <family val="2"/>
        <charset val="238"/>
      </rPr>
      <t xml:space="preserve"> - zapojení do kap</t>
    </r>
    <r>
      <rPr>
        <b/>
        <sz val="9"/>
        <rFont val="Arial"/>
        <family val="2"/>
        <charset val="238"/>
      </rPr>
      <t xml:space="preserve">. 914 02 </t>
    </r>
    <r>
      <rPr>
        <sz val="9"/>
        <rFont val="Arial"/>
        <family val="2"/>
        <charset val="238"/>
      </rPr>
      <t>- Působnosti, a do kap.</t>
    </r>
    <r>
      <rPr>
        <b/>
        <sz val="9"/>
        <rFont val="Arial"/>
        <family val="2"/>
        <charset val="238"/>
      </rPr>
      <t xml:space="preserve"> 923 02</t>
    </r>
    <r>
      <rPr>
        <sz val="9"/>
        <rFont val="Arial"/>
        <family val="2"/>
        <charset val="238"/>
      </rPr>
      <t xml:space="preserve"> a </t>
    </r>
    <r>
      <rPr>
        <b/>
        <sz val="9"/>
        <rFont val="Arial"/>
        <family val="2"/>
        <charset val="238"/>
      </rPr>
      <t>923 14</t>
    </r>
    <r>
      <rPr>
        <sz val="9"/>
        <rFont val="Arial"/>
        <family val="2"/>
        <charset val="238"/>
      </rPr>
      <t xml:space="preserve"> - Spolufinancování EU, převedení finančních prostředků  z důvodu pokrytí finančních závazků uzavřených v roce 2021, jejichž finanční plnění bude realizováno v roce 2022</t>
    </r>
  </si>
  <si>
    <r>
      <t>RO č. 35/22 - Silniční hospodářství</t>
    </r>
    <r>
      <rPr>
        <sz val="9"/>
        <rFont val="Arial"/>
        <family val="2"/>
        <charset val="238"/>
      </rPr>
      <t xml:space="preserve"> - zapojení do kap. </t>
    </r>
    <r>
      <rPr>
        <b/>
        <sz val="9"/>
        <rFont val="Arial"/>
        <family val="2"/>
        <charset val="238"/>
      </rPr>
      <t>912 06</t>
    </r>
    <r>
      <rPr>
        <sz val="9"/>
        <rFont val="Arial"/>
        <family val="2"/>
        <charset val="238"/>
      </rPr>
      <t xml:space="preserve"> - Účelové příspěvky PO, převod finančních prostředků na akce schválené v roce 2021 a jejichž plnění bude realizováno v roce 2022</t>
    </r>
  </si>
  <si>
    <t>VPS</t>
  </si>
  <si>
    <t>MPO</t>
  </si>
  <si>
    <t>Vývoj a očekávaný vývoj úvěrového zadlužení Libereckého kraje v letech 2015 - 2025</t>
  </si>
  <si>
    <t xml:space="preserve">Daňové příjmy kraje </t>
  </si>
  <si>
    <t>Přímé nákl. pro sport. gymnázia</t>
  </si>
  <si>
    <t>Dotace pro soukr. školy a zař.</t>
  </si>
  <si>
    <t>zapojení prostř. z roku 2020 na výdaje 2021, kap. 92304</t>
  </si>
  <si>
    <t>zapojení prostř. z roku 2020 na výdaje 2021, kap. 92305</t>
  </si>
  <si>
    <t>zapojení prostř. z roku 2020 na výdaje 2021, kap. 92609</t>
  </si>
  <si>
    <t>09-zdravotnictví</t>
  </si>
  <si>
    <t>úprava ukazatelů v kap. 91705 - individuální dotace</t>
  </si>
  <si>
    <t>úprava ukazatelů v kap. 92302 - poskytnutí dotace z progr. SALK II</t>
  </si>
  <si>
    <t>02-reg.rozvoj</t>
  </si>
  <si>
    <t>zapojení prostř. z roku 2020 na výdaje 2021, kap. 91402, 91702, 92302, 92314 a 92602</t>
  </si>
  <si>
    <t>zapojení prostř. z roku 2020 na výdaje 2021, kap. 91408, 91708, 92002, 92314 a 92602</t>
  </si>
  <si>
    <t>08-ŽP a zeměď.</t>
  </si>
  <si>
    <t>zapojení prostř. z roku 2020 na výdaje 2021, kap. 91209, 91709, 92009 a 92409</t>
  </si>
  <si>
    <t>zapojení prostř. z roku 2020 na výdaje 2021, kap. 91207</t>
  </si>
  <si>
    <t>zapojení prostř. z roku 2020 na výdaje 2021, kap. 92601-Dotační fond</t>
  </si>
  <si>
    <t>zapojení prostř. z roku 2020 na výdaje 2021, kap. 92014</t>
  </si>
  <si>
    <t>14-investice</t>
  </si>
  <si>
    <t>zapojení prostř. z roku 2020 na výdaje 2021, kap. 91205, 91405, 91705 a 92005</t>
  </si>
  <si>
    <t>zapojení prostř. z roku 2020 na výdaje 2021, kap. 91604 - vratka dotace MŠMT</t>
  </si>
  <si>
    <t>poskytnutí dotací z kap. 92302 - Kotlíkové dotace III. - NZÚ</t>
  </si>
  <si>
    <t>zapojení prostř. z roku 2020 na výdaje 2021, kap. 91407 a 91707</t>
  </si>
  <si>
    <t>úprava ukazatelů v kap. 92306 - přesun prostředků mezi jednotl. akcemi</t>
  </si>
  <si>
    <t>70/21/RK</t>
  </si>
  <si>
    <t>zapojení prostř. z roku 2020 na výdaje 2021, kap. 93101 a 91401</t>
  </si>
  <si>
    <t>zapojení prostř. z roku 2020 na výdaje 2021, kap. 92314</t>
  </si>
  <si>
    <t>zapojení prostř. z roku 2020 na výdaje 2021, kap. 93208 a 93408</t>
  </si>
  <si>
    <t>poskytnutí dotací z FOV kap. 93208</t>
  </si>
  <si>
    <t>zapojení prostř. z roku 2020 na výdaje 2021, kap. 92307 a 92607</t>
  </si>
  <si>
    <t>poskytnutí dotací z LF kap. 93408</t>
  </si>
  <si>
    <t>zapojení prostř. z roku 2020 na výdaje 2021, kap. 92608</t>
  </si>
  <si>
    <t>zapojení prostř. z roku 2020 na výdaje 2021, kap. 91204</t>
  </si>
  <si>
    <t>zapojení prostř. z roku 2020 na výdaje 2021, kap. 91404 a 92004</t>
  </si>
  <si>
    <t>zapojení prostř. z roku 2020 na výdaje 2021, kap. 92604</t>
  </si>
  <si>
    <t>zapojení prostř. z roku 2020 na výdaje 2021, kap. 92302</t>
  </si>
  <si>
    <t>navýšení příjmů a výdajů v kap. 91604, odvod na MŠMT</t>
  </si>
  <si>
    <t>165/21/RK</t>
  </si>
  <si>
    <t>dotace z MPSV, zapojení do kap. 91705 - sociální služby</t>
  </si>
  <si>
    <t>zapojení prostř. z roku 2020 na výdaje 2021, kap. 91412 a 92012</t>
  </si>
  <si>
    <t>12-imformatika</t>
  </si>
  <si>
    <t>zapojení vyšších daňových příjmů za rok 2020 (HV I.) na výdaje 2021 resortů v kap. 912, 913,914, 917, 917, 919, 920, 923, 926 a 931</t>
  </si>
  <si>
    <t>03-ekonomika</t>
  </si>
  <si>
    <t>úprava ukazatelů v kap. 926 - DF a kap. 917 - Transfery</t>
  </si>
  <si>
    <t>zapojení prostř. z roku 2020 na výdaje 2021, kap. 91704 a 91504</t>
  </si>
  <si>
    <t>poskytnutí příspěvků z kap. 91204 - stipendijní program</t>
  </si>
  <si>
    <t>zapojení prostř. z roku 2020 na výdaje 2021, kap. 91410</t>
  </si>
  <si>
    <t>10-právní</t>
  </si>
  <si>
    <t>zapojení prostř. z roku 2020 na výdaje 2021, kap. 92015, 91115 a 91015</t>
  </si>
  <si>
    <t>poskytnutí individ. dotace z kap. 91701</t>
  </si>
  <si>
    <t>poskytnutí darů z KF kap. 93101</t>
  </si>
  <si>
    <t>zapojení prostř. z roku 2020 na výdaje 2021, kap. 91206</t>
  </si>
  <si>
    <t>zapojení prostř. z roku 2020 na výdaje 2021, kap. 91406</t>
  </si>
  <si>
    <t>zapojení prostř. z roku 2020 na výdaje 2021, kap. 91706</t>
  </si>
  <si>
    <t>zapojení prostř. z roku 2020 na výdaje 2021, kap. 92006</t>
  </si>
  <si>
    <t>poskytnutí dotací z KF kap. 93101</t>
  </si>
  <si>
    <t>přesun z KF kap. 93101 do kap. 91205 - účelový příspěvek APOSS</t>
  </si>
  <si>
    <t>navýšení příjmů a výdajů v kap. 91707</t>
  </si>
  <si>
    <t>přesun z kap. 91207 do kap. 92014</t>
  </si>
  <si>
    <t>zapojení prostř. z roku 2020 na výdaje 2021, kap. 91306</t>
  </si>
  <si>
    <t>dotace z MF, zapojení do KF kap. 93101</t>
  </si>
  <si>
    <t>navýšení příjmů a výdajů v kap. 92014 a 91204</t>
  </si>
  <si>
    <t>118/21/ZK</t>
  </si>
  <si>
    <t>úprava ukazatelů v kap. 91304 - provozní příspěvky PO, školství</t>
  </si>
  <si>
    <t xml:space="preserve">navýšení příjmů a výdajů v kap. 92014 </t>
  </si>
  <si>
    <t>zapojení prostř. z roku 2020 na výdaje 2021, kap. 92606</t>
  </si>
  <si>
    <t>úprava ukazatelů v kap. 92006 - rozpis prostředků na jednotl. akce</t>
  </si>
  <si>
    <t>zapojení prostř. z roku 2020 na výdaje 2021, kap. 92515 - SF, 92605 a 92606 -DF</t>
  </si>
  <si>
    <t>320/21/RK</t>
  </si>
  <si>
    <t>poskytnutí individ. dotací z kap. 91707</t>
  </si>
  <si>
    <t>navýšení příjmů a výdajů v kap. 92014</t>
  </si>
  <si>
    <t>dotace z MV, zapojení do kap.91404</t>
  </si>
  <si>
    <t>navýšení příjmů a výdajů v kap. 91204</t>
  </si>
  <si>
    <t>zapojení prostř. z roku 2020 na výdaje 2021, kap. 91705</t>
  </si>
  <si>
    <t>zapojení prostř. z roku 2020 na výdaje 2021, kap. 923-resorty</t>
  </si>
  <si>
    <t>poskytnutí individuální dotace z kap. 91708</t>
  </si>
  <si>
    <t>poskytnutí finančního daru z kap. 93101 - KF</t>
  </si>
  <si>
    <t>dotace z MŠMT, zapojení do kap. 92302</t>
  </si>
  <si>
    <t>poskytnutí individuálních dotací z kap. 91709 - LPS</t>
  </si>
  <si>
    <t>přesun z kap. 91404 do kap. 91704 a poskytnutí indiv. dotací z kap. 91704</t>
  </si>
  <si>
    <t>přesun z kap. 91701 do kap. 91704</t>
  </si>
  <si>
    <t>dotace z MMR, zapojení do kap. 91708</t>
  </si>
  <si>
    <t>zapojení prostř. z roku 2020 na výdaje 2021, finanční vypořádání dotací za rok 2020 - resorty</t>
  </si>
  <si>
    <t>přesun z kap. 91707 do kap. 91507 a poskytnutí indiv. dotace z kap. 91507</t>
  </si>
  <si>
    <t>přesun z kap. 91405 do kap. 91205 - účelové příspěvky PO, sociální věci</t>
  </si>
  <si>
    <t>navýšení příjmů - dotace a vratky za krajem předfinancované projekty, přesun z kap. 92014 a navýšení výdajů v kap. 92303, 92306 a 92314</t>
  </si>
  <si>
    <t>přesun z kap. 91903 do kap.92006 - příplatek do ZK, Autobusy LK</t>
  </si>
  <si>
    <t>navýšení příjmů a výdajů v kap. 93101 - KF, poskytnutí NFV obl. Spolku ČČK Liberec</t>
  </si>
  <si>
    <t>navýšení příjmů a výdajů v kap. 91709, poskytnutí NFV LRN Cvikov</t>
  </si>
  <si>
    <t>dotace z Úřadu vlády, zapojení do kap. 91405</t>
  </si>
  <si>
    <t>přesunz kap. 91405 do kap. 91705</t>
  </si>
  <si>
    <t>dotace z MŠMT, zapojení do kap. 92304</t>
  </si>
  <si>
    <t>úprava ukazatelů v kap. 91207 - účelové příspěvky PO - kultura</t>
  </si>
  <si>
    <t>navýšení příjmů a výdajů v kap. 91406</t>
  </si>
  <si>
    <t>poskytnutí finančních darů z kap. 91701</t>
  </si>
  <si>
    <t>109/21/RK</t>
  </si>
  <si>
    <t>494/21/RK</t>
  </si>
  <si>
    <t>navýšení daňových příjmů a výdajů v kap. 91403</t>
  </si>
  <si>
    <t>poskytnutí individ.dotace z kap. 91704</t>
  </si>
  <si>
    <t>495/21/RK</t>
  </si>
  <si>
    <t>navýšení příjmů a výdajů v kap. 91306</t>
  </si>
  <si>
    <t>177/21/ZK</t>
  </si>
  <si>
    <t>úprava ukazatelů v kap. 91707</t>
  </si>
  <si>
    <t>přesun z kap. 92005 do kap. 91205</t>
  </si>
  <si>
    <t>zapojení prostř. z roku 2020 na výdaje 2021, resorty</t>
  </si>
  <si>
    <t>přesun z kap. 92303 do kap. 92304</t>
  </si>
  <si>
    <t>navýšení příjmů a výdajů v kap. 93101 - KF</t>
  </si>
  <si>
    <t>poskytnutí individ.dotace z kap. 91707</t>
  </si>
  <si>
    <t>poskytnutí dotací z FOV, kap. 93208 na Prog. vodohospodářských akcí</t>
  </si>
  <si>
    <t>přesun z kap. 91405 do kap. 91705</t>
  </si>
  <si>
    <t>poskytnutí dotací z DF, kap. 92607 na prog. Řemeslná a zážit. turistika</t>
  </si>
  <si>
    <t>poskytnutí dotací z DF, kap. 92607 na prog.Podpora nadreg.témat a prod.</t>
  </si>
  <si>
    <t>refundace výdajů školám z KF, kap. 93101</t>
  </si>
  <si>
    <t>přesun z KF, kap. 93101 do kap. 91209 - účelové příspěvky PO - zdravotnictví</t>
  </si>
  <si>
    <t>přesun z kap. 91406, 91706 a 92306 do kap. 91421, 91721 a 92301</t>
  </si>
  <si>
    <t>dotace z MMR, zapojení do kap. 92314, 92302 a 92303</t>
  </si>
  <si>
    <t>navýšení příjmů a výdajů v DF, kap. 92602</t>
  </si>
  <si>
    <t>poskytnutí dotaci z DF, kap. 92602 - program obnovy venkova</t>
  </si>
  <si>
    <t>803/21/RK</t>
  </si>
  <si>
    <t>přesun z kap. 92307 do kap. 92314</t>
  </si>
  <si>
    <t>úprava ukazatelů v kap. 91204 - účelové příspěvky PO - školství</t>
  </si>
  <si>
    <t>přesun z kap. 92014 do kap. 91204 - účelové příspěvky PO - školství</t>
  </si>
  <si>
    <t>navýšení příjmů a výdajů v kap. 92608 - DF na prog. životního peostředí</t>
  </si>
  <si>
    <t>poskytnutí darů z kap. 91701</t>
  </si>
  <si>
    <t>poskytnutí dotací z DF, kap. 92607 na prog. Záchrana a obnova památek</t>
  </si>
  <si>
    <t>poskytnutí dotaci z DF, kap. 92607 - kulturní aktivity</t>
  </si>
  <si>
    <t>813/21/RK</t>
  </si>
  <si>
    <t>poskytnutí dotace z kap. 93101 - KF</t>
  </si>
  <si>
    <t>06-silnič.hosp.</t>
  </si>
  <si>
    <t>poskytnutí dotaci z DF, kap. 92602 - podpora mateřských center</t>
  </si>
  <si>
    <t>poskytnutí dotací z kap. 91705 - II. kolo - prostředky MPSV</t>
  </si>
  <si>
    <t>poskytnutí dotaci z DF, kap. 92606 - podpora cyklodopravy</t>
  </si>
  <si>
    <t>poskytnutí individ.dotací z FOV, kap. 93208 - vodohosp.infrastruktura</t>
  </si>
  <si>
    <t>přesun z kap. 92314 do kap. 92302</t>
  </si>
  <si>
    <t>dotace z MŽP, zapojení do kap. 92302 - Kotlíkové dotace III.</t>
  </si>
  <si>
    <t>navýšení příjmů a výdajů v kap. 91307</t>
  </si>
  <si>
    <t>poskytnutí dotaci z DF, kap. 92601 - podpora sdružení hasičů</t>
  </si>
  <si>
    <t>poskytnutí dotaci z DF, kap. 92601 - prevence kriminality</t>
  </si>
  <si>
    <t>poskytnutí dotaci z DF, kap. 92601 - podpora JPO obcí</t>
  </si>
  <si>
    <t>poskytnutí dotaci z DF, kap. 92601 - činnost JPO II k programu MV</t>
  </si>
  <si>
    <t>poskytnutí individ.dotací z kap. 91701 - SDH obcí k programu MV</t>
  </si>
  <si>
    <t>poskytnutí dotaci z DF, kap. 92604 - obl. podpory školství a mládež</t>
  </si>
  <si>
    <t>poskytnutí dotaci z DF, kap. 92608 - obl. podpory živ.prostř. a zemědělství</t>
  </si>
  <si>
    <t>poskytnutí dotaci z DF, kap. 92604 - obl. podpory tělovýchova a sport</t>
  </si>
  <si>
    <t>poskytnutí dotaci z DF, kap. 92604 - sportovní akce</t>
  </si>
  <si>
    <t>poskytnutí dotaci z DF, kap. 92607 - turistická infrastruktura</t>
  </si>
  <si>
    <t>poskytnutí individ.dotací z kap. 91705 - SPOD</t>
  </si>
  <si>
    <t>poskytnutí individ.dotací z kap. 91705 - rodinná politika</t>
  </si>
  <si>
    <t>dotace z MV, zapojení do kap.91405</t>
  </si>
  <si>
    <t>poskytnutí dotaci z DF, kap. 92605 - podpora národnostních menšin</t>
  </si>
  <si>
    <t>poskytnutí individ.dotací  a daru z kap. 91705</t>
  </si>
  <si>
    <t>úprava ukazatelů v kap. 91205 - účelové příspěvky PO - sociální věci</t>
  </si>
  <si>
    <t>poskytnutí individ.dotací z kap. 91704 - aktivity pro seniory</t>
  </si>
  <si>
    <t>úprava ukazatelů v kap. 91704</t>
  </si>
  <si>
    <t>poskytnutí individ.dotace z KF, kap. 93101</t>
  </si>
  <si>
    <t>poskytnutí daru z KF, kap. 93101</t>
  </si>
  <si>
    <t>přesun z kap. 92314 do kap. 92302 a úpravy v kap. 91402</t>
  </si>
  <si>
    <t>poskytnutí finančního daru z kap. 91701</t>
  </si>
  <si>
    <t>úprava ukazatelů v kap. 92306</t>
  </si>
  <si>
    <t>poskytnutí refundace školám z KF kap.93101</t>
  </si>
  <si>
    <t>navýšení příjmů a výdajů v kap. 92302 - vratka dotace na MŽP</t>
  </si>
  <si>
    <t>poskytnutí finančních darů z KF, kap. 93101</t>
  </si>
  <si>
    <t>310/21/mZK</t>
  </si>
  <si>
    <t>poskytnutí individ.dotací z kap. 91704 - sport a tělovýchova</t>
  </si>
  <si>
    <t>navýšení příjmů a výdajů v kap. 91305-provozní příspěvky PO, socální věci</t>
  </si>
  <si>
    <t>úprava ukazatelů v kap. 91305 - provozní příspěvky PO, sociální věci</t>
  </si>
  <si>
    <t>poskytnutí individ.dotací z kap. 91709</t>
  </si>
  <si>
    <t>přesun z kap. 91709 do kap. 92014</t>
  </si>
  <si>
    <t>poskytnutí individ.dotací z kap. 91705 - záštity</t>
  </si>
  <si>
    <t>navýšení příjmů a výdajů v kap. 91706, poskytnutí individ.dotace</t>
  </si>
  <si>
    <t>navýšení příjmů - dotace a vratky za krajem předfinancované projekty a navýšení výdajů v kap. 92302, 92303, 92306 a 92314</t>
  </si>
  <si>
    <t>dotace z MŽP, zapojení do kap. 92303 a 92302 - Kotlíkové dotace III.</t>
  </si>
  <si>
    <t>poskytnutí individ.dotací z kap. 91707 - záštita</t>
  </si>
  <si>
    <t>poskytnutí finančního daru z kap. 91704</t>
  </si>
  <si>
    <t>úprava ukazatelů v kap. 92008</t>
  </si>
  <si>
    <t>úprava ukazatelů v kap. 93208 a poskytnutí invest. transferu</t>
  </si>
  <si>
    <t>přesun z kap. 91405do kap. 91705</t>
  </si>
  <si>
    <t>poskytnutí finančního daru z kap. 91708</t>
  </si>
  <si>
    <t>přesun z kap 91408 do kap. 91708 a poskytnutí fin.ocenění</t>
  </si>
  <si>
    <t>navýšení příjmů a navýšení výdajů v kap. 91204 a 92004</t>
  </si>
  <si>
    <t>přesun z kap. 92004 do kap. 91204 a 92014</t>
  </si>
  <si>
    <t>poskytnutí dotaci z DF, kap. 92609 - programy zdravotnictví</t>
  </si>
  <si>
    <t>přesun z kap. 91408 do kap. 91708 a 92008</t>
  </si>
  <si>
    <t>poskytnutí individ.dotací z kap. 91721</t>
  </si>
  <si>
    <t>21-dopr.obsluž.</t>
  </si>
  <si>
    <t>úprava ukazatelů v kap. 91206- účelové příspěvky PO - doprava</t>
  </si>
  <si>
    <t>poskytnutí individ.dotace z kap. 91704 - sportovní akce</t>
  </si>
  <si>
    <t>poskytnutí individ.dotací z kap. 91706 - záštita</t>
  </si>
  <si>
    <t>přesun z kap. 92314 do kap. 92014</t>
  </si>
  <si>
    <t>přesun z kap. 91701 do 91707 a poskytnutí individ. Dotace</t>
  </si>
  <si>
    <t>přesun z kap 92303 do kap. 92302</t>
  </si>
  <si>
    <t>poskytnutí individ.dotace z kap. 91708</t>
  </si>
  <si>
    <t>poskytnutí individ.dotací z FOV, kap. 93208 - prog.vodohospodář. akcí</t>
  </si>
  <si>
    <t>navýšení příjmů a navýšení výdajů v kap. 91408</t>
  </si>
  <si>
    <t>úprava ukazatelů v kap. 91414</t>
  </si>
  <si>
    <t>přesun z kap. 91709 do kap. 91209 a poskytnutí indiv.příspěvku PO-zdravotnictví</t>
  </si>
  <si>
    <t>poskytnutí dotaci z DF, kap. 92602 - podpora Místní agendy 21</t>
  </si>
  <si>
    <t>poskytnutí dotaci z DF, kap. 92602 - podpora regionál.výrobců</t>
  </si>
  <si>
    <t>snížení příjmů a snížení výdajů v kap.91304-příspěvky PO-školství</t>
  </si>
  <si>
    <t>úprava ukazatelů v kap. 91206-účelové příspěvky PO-doprava</t>
  </si>
  <si>
    <t>přesun z kap. 92006 do kap. 91706 a poskytnutí individ. Dotace</t>
  </si>
  <si>
    <t>poskytnutí dotaci z DF, kap. 92602 - Regionální inovační program</t>
  </si>
  <si>
    <t>poskytnutí individ.dotací z kap. 91707 - záštity</t>
  </si>
  <si>
    <t>přesun z kap. 91707 do kap. 91407</t>
  </si>
  <si>
    <t>přesun z kap. 92303 do kap. 92314 a 92302</t>
  </si>
  <si>
    <t>poskytnutí dotací z kap. 92302 - asistenční vouchery</t>
  </si>
  <si>
    <t>dotace z MF, zapojení do kap. 91115</t>
  </si>
  <si>
    <t>poskytnutí individ.dotací z FOV, kap. 93208</t>
  </si>
  <si>
    <t>poskytnutí finančních darůz kap. 91704</t>
  </si>
  <si>
    <t>dotace od obcí, zapojeno do kap. 92014</t>
  </si>
  <si>
    <t>navýšení příjmů a navýšení výdajů v kap. 91721</t>
  </si>
  <si>
    <t>navýšení příjmů a navýšení výdajů v kap. 91421</t>
  </si>
  <si>
    <t>navýšení příjmů a výdajů v kap. 91705, rozhodnutí o poskytnutí NFV</t>
  </si>
  <si>
    <t>navýšení příjmů a navýšení výdajů v kap. 91406</t>
  </si>
  <si>
    <t>navýšení příjmů a navýšení výdajů v kap. 92006</t>
  </si>
  <si>
    <t>přesun z kap. 92006 do kap. 91306</t>
  </si>
  <si>
    <t>úprava ukazatelů v kap. 91206 - účelové příspěvky PO - doprava</t>
  </si>
  <si>
    <t>navýšení příjmů a navýšení výdajů v kap. 91707</t>
  </si>
  <si>
    <t>poskytnutí účelového příspěvku PO z KF, kap. 93101</t>
  </si>
  <si>
    <t>úprava ukazatelů v kap. 91402</t>
  </si>
  <si>
    <t>dotace z MD, zapojeno do kap. 91421</t>
  </si>
  <si>
    <t>poskytnutí záštit s fin. podporou z kap. 91707</t>
  </si>
  <si>
    <t>dotce z MF, zapojeno do kap. 91708</t>
  </si>
  <si>
    <t>poskytnutí indiv. dotace z KF, kap. 93101</t>
  </si>
  <si>
    <t>poskytnutí finančního daru z KF, kap. 93101</t>
  </si>
  <si>
    <t xml:space="preserve">poskytnutí dotací z FOV, kap. 93208 </t>
  </si>
  <si>
    <t>494/21/Zk</t>
  </si>
  <si>
    <t>přesun z kap. 91408 do 91708</t>
  </si>
  <si>
    <t>úprava ukazatelů v kap. 91306 - provozní příspěvky PO, zdravotnictví</t>
  </si>
  <si>
    <t>přesun z kap. 91304 do kap. 91204, poskytnutí NFV</t>
  </si>
  <si>
    <t>navýšení příjmů a navýšení výdajů v kap. 92004</t>
  </si>
  <si>
    <t>poskytnutí individ.dotace z kap. 91721</t>
  </si>
  <si>
    <t>přesun z kap. 91304 do 91204 -účelové příspěvky PO - školství</t>
  </si>
  <si>
    <t>navýšení příjmů a navýšení výdajů v kap. 91305-příspěvky PO-soci.věci</t>
  </si>
  <si>
    <t>dotace z MŽP, zapojení do kap. 92302 a 92303</t>
  </si>
  <si>
    <t>přesun z kap. 92008 do kap. 91208</t>
  </si>
  <si>
    <t>navýšení příjmů a navýšení výdajů v kap. 92014</t>
  </si>
  <si>
    <t>přesun z kap. 91507 a 91707 do kap. 91407</t>
  </si>
  <si>
    <t>úprava ukazatelů v DF, kap. 92607</t>
  </si>
  <si>
    <t>poskytnutí individ. dotací z kap. 91704 - sportovní infrastruktura</t>
  </si>
  <si>
    <t>navýšení příjmů a navýšení výdajů v kap. 92304</t>
  </si>
  <si>
    <t>dotace z MK a MMR, zapojení do kap. 91707 a 92307</t>
  </si>
  <si>
    <t>dotace z MF, zapojení do kap. 92006</t>
  </si>
  <si>
    <t>snížení příjmů a snížení výdajů v kap. 91604, vratka na MŠMT</t>
  </si>
  <si>
    <t>dotace z MŠMT, zapojení do kap. 91404</t>
  </si>
  <si>
    <t>navýšení příjmů a navýšení výdajů v kap. 92608</t>
  </si>
  <si>
    <t>navýšení příjmů a navýšení výdajů v kap. 91204</t>
  </si>
  <si>
    <t>přesun z kap. 92004, 91704 a 91304 do kap. 91204</t>
  </si>
  <si>
    <t>555/21/ZK</t>
  </si>
  <si>
    <t>úprava ukazatelů v kap. 91304 - provozní příspěvky PO - školství</t>
  </si>
  <si>
    <t>poskytnutí indiv. dotací z kap. 92302 - SALK II</t>
  </si>
  <si>
    <t>snížení příjmů a snížení výdajů v kap. 91404</t>
  </si>
  <si>
    <t>úprava ukazatelů v kap. 92307</t>
  </si>
  <si>
    <t>navýšení příjmů a přesun z kap. 92006 do kap. 91421-dofinancování dopr. obslužnosti</t>
  </si>
  <si>
    <t>poskytnutí individ. dotací z kap. 91704 - sport</t>
  </si>
  <si>
    <t>poskytnutí individ. dotace z kap. 91704</t>
  </si>
  <si>
    <t>úprava ukazatelů v kap. 91304 a 91404</t>
  </si>
  <si>
    <t>dotace z MK a MF, zapojení do kap. 92307 a 91707</t>
  </si>
  <si>
    <t>navýšení příjmů a navýšení výdajů v kap. 91205 a 93101</t>
  </si>
  <si>
    <t>přesun z kap. 91903 do 91309 -provoz.příspěvky PO-zdravotnictví, dofinancování mezd</t>
  </si>
  <si>
    <t>zpětně přijaté dotace z kapitol SR, zapojení do kap. 92302, 92303 a 92306</t>
  </si>
  <si>
    <t>snížení příjmů ze SFDI a snížení výdajů v kap. 91706</t>
  </si>
  <si>
    <t>poskytnutí individ. dotace z kap. 91705</t>
  </si>
  <si>
    <t>poskytnutí individ. dotací z kap. 91704 - tělovýchova a sport</t>
  </si>
  <si>
    <t>snížení příjmů a snížení výdajů v kap. 91404, odvod na MŠMT</t>
  </si>
  <si>
    <t>zpětně přijaté dotace z kapitol SR, zapojení do kap. 92303</t>
  </si>
  <si>
    <t>snížení příjmů ze SFDI a snížení výdajů v kap. 92006</t>
  </si>
  <si>
    <t>Saldo zdrojů a výdajů dotačního fondu kraje 2021</t>
  </si>
  <si>
    <t>* zůstatek finančních prostředků na účtu Dotačního fondu kraje z roku 2021 byl v roce 2022</t>
  </si>
  <si>
    <t>a) ponížen o 0,69 tis. Kč za nezapojenou vratku</t>
  </si>
  <si>
    <t>b) zapojen ke krytí výdajové kapitoly 926 - Dotační fond v celkové výši 58 463,08 tis. Kč rozpočtovými opatřeními č. 5/22, 11/22, 18/22, 26/22, 38/22, 40/22, 45/22 a 76/22</t>
  </si>
  <si>
    <t>přijaté sankce, náhrady a vratky od obcí</t>
  </si>
  <si>
    <t>investiční a neinvestiční transfery (obec Svojkov a TUL)</t>
  </si>
  <si>
    <t>Projektová dokumentace pro realizaci stavby</t>
  </si>
  <si>
    <t>Refundace školám a humanitární pomoc obcím</t>
  </si>
  <si>
    <t>Příspěvky ZZS LK</t>
  </si>
  <si>
    <t>Dary a transfery páteřním nemocnicím</t>
  </si>
  <si>
    <t>Humanitární pomoc neziskovým organizacím</t>
  </si>
  <si>
    <t>NFV pro Oblastní spolek ČČK Liberec</t>
  </si>
  <si>
    <t>Finanční dary - převoz zemřelých</t>
  </si>
  <si>
    <t>Kapitola 322 - Ministerstvo průmyslu a obchdu</t>
  </si>
  <si>
    <t>OP Podnikání a inovace pro konkurenc.- EU - inv.</t>
  </si>
  <si>
    <t>ministerstvo průmyslu a obchodu</t>
  </si>
  <si>
    <t>Výdaje spojené s epidemií COVID-19, FS EU (výdaje spojené s činností škol – mimořádná opatření)</t>
  </si>
  <si>
    <t>Zdroje sociálního fondu 2021 celkem</t>
  </si>
  <si>
    <t>Výdaje sociálního fondu 2021 celkem</t>
  </si>
  <si>
    <t>Saldo zdrojů a výdajů LF kraje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</si>
</sst>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Kč&quot;;[Red]\-#,##0.00\ &quot;Kč&quot;"/>
    <numFmt numFmtId="164" formatCode="_-* #,##0.00\ _K_č_-;\-* #,##0.00\ _K_č_-;_-* &quot;-&quot;??\ _K_č_-;_-@_-"/>
    <numFmt numFmtId="165" formatCode="#,##0.0"/>
    <numFmt numFmtId="166" formatCode="#,##0.000"/>
    <numFmt numFmtId="167" formatCode="0.00000"/>
    <numFmt numFmtId="168" formatCode="#,##0.0000"/>
    <numFmt numFmtId="169" formatCode="#,##0.00000"/>
    <numFmt numFmtId="170" formatCode="#,##0.00_ ;[Red]\-#,##0.00\ "/>
    <numFmt numFmtId="171" formatCode="#,##0.00000_ ;[Red]\-#,##0.00000\ "/>
    <numFmt numFmtId="172" formatCode="#,##0.000000"/>
    <numFmt numFmtId="173" formatCode="#,##0.000000_ ;[Red]\-#,##0.000000\ "/>
    <numFmt numFmtId="174" formatCode="0.0000"/>
  </numFmts>
  <fonts count="17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b/>
      <sz val="14"/>
      <name val="Arial CE"/>
      <charset val="238"/>
    </font>
    <font>
      <sz val="9"/>
      <name val="Arial"/>
      <family val="2"/>
    </font>
    <font>
      <sz val="9"/>
      <name val="Arial CE"/>
      <family val="2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7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trike/>
      <sz val="8"/>
      <color rgb="FF00B05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CC"/>
      <name val="Arial"/>
      <family val="2"/>
      <charset val="238"/>
    </font>
    <font>
      <sz val="8"/>
      <color rgb="FF0000CC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Arial"/>
      <family val="2"/>
      <charset val="238"/>
    </font>
    <font>
      <b/>
      <sz val="9"/>
      <color theme="0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800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00B05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sz val="8"/>
      <color rgb="FF0000CC"/>
      <name val="Times New Roman"/>
      <family val="1"/>
      <charset val="238"/>
    </font>
    <font>
      <sz val="8"/>
      <color theme="5" tint="-0.249977111117893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8" tint="-0.499984740745262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7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b/>
      <sz val="9"/>
      <color theme="1" tint="0.499984740745262"/>
      <name val="Calibri"/>
      <family val="2"/>
      <charset val="238"/>
      <scheme val="minor"/>
    </font>
    <font>
      <sz val="8"/>
      <color rgb="FF008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 tint="0.499984740745262"/>
      <name val="Calibri"/>
      <family val="2"/>
      <charset val="238"/>
      <scheme val="minor"/>
    </font>
    <font>
      <sz val="8"/>
      <color theme="1" tint="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00B0F0"/>
      <name val="Times New Roman"/>
      <family val="1"/>
      <charset val="238"/>
    </font>
    <font>
      <sz val="8"/>
      <color theme="3"/>
      <name val="Times New Roman"/>
      <family val="1"/>
      <charset val="238"/>
    </font>
    <font>
      <sz val="8"/>
      <color theme="1" tint="0.499984740745262"/>
      <name val="Arial"/>
      <family val="2"/>
      <charset val="238"/>
    </font>
    <font>
      <sz val="12"/>
      <color rgb="FF008000"/>
      <name val="Calibri"/>
      <family val="2"/>
      <charset val="238"/>
      <scheme val="minor"/>
    </font>
    <font>
      <b/>
      <sz val="10"/>
      <color rgb="FF008000"/>
      <name val="Arial"/>
      <family val="2"/>
      <charset val="238"/>
    </font>
    <font>
      <sz val="10"/>
      <color rgb="FF008000"/>
      <name val="Arial"/>
      <family val="2"/>
      <charset val="238"/>
    </font>
    <font>
      <sz val="8"/>
      <color rgb="FF008000"/>
      <name val="Arial"/>
      <family val="2"/>
      <charset val="238"/>
    </font>
    <font>
      <sz val="10"/>
      <color rgb="FF008000"/>
      <name val="Calibri"/>
      <family val="2"/>
      <charset val="238"/>
      <scheme val="minor"/>
    </font>
    <font>
      <sz val="9"/>
      <color rgb="FF008000"/>
      <name val="Arial"/>
      <family val="2"/>
      <charset val="238"/>
    </font>
    <font>
      <b/>
      <sz val="8"/>
      <color rgb="FF008000"/>
      <name val="Calibri"/>
      <family val="2"/>
      <charset val="238"/>
      <scheme val="minor"/>
    </font>
    <font>
      <b/>
      <sz val="9"/>
      <color rgb="FF008000"/>
      <name val="Calibri"/>
      <family val="2"/>
      <charset val="238"/>
      <scheme val="minor"/>
    </font>
    <font>
      <sz val="9"/>
      <color rgb="FF008000"/>
      <name val="Calibri"/>
      <family val="2"/>
      <charset val="238"/>
      <scheme val="minor"/>
    </font>
    <font>
      <i/>
      <sz val="10"/>
      <color rgb="FF008000"/>
      <name val="Arial"/>
      <family val="2"/>
      <charset val="238"/>
    </font>
    <font>
      <b/>
      <sz val="10"/>
      <color rgb="FF00800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name val="Arial CE"/>
      <charset val="238"/>
    </font>
    <font>
      <b/>
      <sz val="11"/>
      <name val="Times New Roman"/>
      <family val="1"/>
      <charset val="238"/>
    </font>
    <font>
      <i/>
      <sz val="10"/>
      <color indexed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3"/>
      <name val="Arial"/>
      <family val="2"/>
      <charset val="238"/>
    </font>
    <font>
      <sz val="10"/>
      <color theme="1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9">
    <xf numFmtId="0" fontId="0" fillId="0" borderId="0"/>
    <xf numFmtId="0" fontId="65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66" fillId="33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8" borderId="0" applyNumberFormat="0" applyBorder="0" applyAlignment="0" applyProtection="0"/>
    <xf numFmtId="0" fontId="32" fillId="0" borderId="1" applyNumberFormat="0" applyFill="0" applyAlignment="0" applyProtection="0"/>
    <xf numFmtId="0" fontId="67" fillId="0" borderId="95" applyNumberFormat="0" applyFill="0" applyAlignment="0" applyProtection="0"/>
    <xf numFmtId="164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8" fillId="39" borderId="0" applyNumberFormat="0" applyBorder="0" applyAlignment="0" applyProtection="0"/>
    <xf numFmtId="0" fontId="33" fillId="6" borderId="2" applyNumberFormat="0" applyAlignment="0" applyProtection="0"/>
    <xf numFmtId="0" fontId="69" fillId="40" borderId="96" applyNumberFormat="0" applyAlignment="0" applyProtection="0"/>
    <xf numFmtId="0" fontId="34" fillId="0" borderId="3" applyNumberFormat="0" applyFill="0" applyAlignment="0" applyProtection="0"/>
    <xf numFmtId="0" fontId="70" fillId="0" borderId="97" applyNumberFormat="0" applyFill="0" applyAlignment="0" applyProtection="0"/>
    <xf numFmtId="0" fontId="35" fillId="0" borderId="4" applyNumberFormat="0" applyFill="0" applyAlignment="0" applyProtection="0"/>
    <xf numFmtId="0" fontId="71" fillId="0" borderId="98" applyNumberFormat="0" applyFill="0" applyAlignment="0" applyProtection="0"/>
    <xf numFmtId="0" fontId="36" fillId="0" borderId="5" applyNumberFormat="0" applyFill="0" applyAlignment="0" applyProtection="0"/>
    <xf numFmtId="0" fontId="72" fillId="0" borderId="99" applyNumberFormat="0" applyFill="0" applyAlignment="0" applyProtection="0"/>
    <xf numFmtId="0" fontId="3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74" fillId="41" borderId="0" applyNumberFormat="0" applyBorder="0" applyAlignment="0" applyProtection="0"/>
    <xf numFmtId="0" fontId="9" fillId="0" borderId="0"/>
    <xf numFmtId="0" fontId="65" fillId="0" borderId="0"/>
    <xf numFmtId="0" fontId="63" fillId="0" borderId="0"/>
    <xf numFmtId="0" fontId="9" fillId="0" borderId="0"/>
    <xf numFmtId="0" fontId="65" fillId="0" borderId="0"/>
    <xf numFmtId="0" fontId="65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30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9" fillId="8" borderId="6" applyNumberFormat="0" applyFont="0" applyAlignment="0" applyProtection="0"/>
    <xf numFmtId="0" fontId="65" fillId="42" borderId="100" applyNumberFormat="0" applyFont="0" applyAlignment="0" applyProtection="0"/>
    <xf numFmtId="9" fontId="18" fillId="0" borderId="0" applyFont="0" applyFill="0" applyBorder="0" applyAlignment="0" applyProtection="0"/>
    <xf numFmtId="0" fontId="39" fillId="0" borderId="7" applyNumberFormat="0" applyFill="0" applyAlignment="0" applyProtection="0"/>
    <xf numFmtId="0" fontId="75" fillId="0" borderId="101" applyNumberFormat="0" applyFill="0" applyAlignment="0" applyProtection="0"/>
    <xf numFmtId="0" fontId="46" fillId="9" borderId="0">
      <alignment horizontal="left" vertical="center"/>
    </xf>
    <xf numFmtId="0" fontId="40" fillId="2" borderId="0" applyNumberFormat="0" applyBorder="0" applyAlignment="0" applyProtection="0"/>
    <xf numFmtId="0" fontId="76" fillId="43" borderId="0" applyNumberFormat="0" applyBorder="0" applyAlignment="0" applyProtection="0"/>
    <xf numFmtId="0" fontId="4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2" fillId="3" borderId="8" applyNumberFormat="0" applyAlignment="0" applyProtection="0"/>
    <xf numFmtId="0" fontId="78" fillId="44" borderId="102" applyNumberFormat="0" applyAlignment="0" applyProtection="0"/>
    <xf numFmtId="0" fontId="43" fillId="10" borderId="8" applyNumberFormat="0" applyAlignment="0" applyProtection="0"/>
    <xf numFmtId="0" fontId="79" fillId="45" borderId="102" applyNumberFormat="0" applyAlignment="0" applyProtection="0"/>
    <xf numFmtId="0" fontId="44" fillId="10" borderId="9" applyNumberFormat="0" applyAlignment="0" applyProtection="0"/>
    <xf numFmtId="0" fontId="80" fillId="45" borderId="103" applyNumberFormat="0" applyAlignment="0" applyProtection="0"/>
    <xf numFmtId="0" fontId="4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1" fillId="11" borderId="0" applyNumberFormat="0" applyBorder="0" applyAlignment="0" applyProtection="0"/>
    <xf numFmtId="0" fontId="66" fillId="46" borderId="0" applyNumberFormat="0" applyBorder="0" applyAlignment="0" applyProtection="0"/>
    <xf numFmtId="0" fontId="31" fillId="12" borderId="0" applyNumberFormat="0" applyBorder="0" applyAlignment="0" applyProtection="0"/>
    <xf numFmtId="0" fontId="66" fillId="47" borderId="0" applyNumberFormat="0" applyBorder="0" applyAlignment="0" applyProtection="0"/>
    <xf numFmtId="0" fontId="31" fillId="13" borderId="0" applyNumberFormat="0" applyBorder="0" applyAlignment="0" applyProtection="0"/>
    <xf numFmtId="0" fontId="66" fillId="48" borderId="0" applyNumberFormat="0" applyBorder="0" applyAlignment="0" applyProtection="0"/>
    <xf numFmtId="0" fontId="31" fillId="4" borderId="0" applyNumberFormat="0" applyBorder="0" applyAlignment="0" applyProtection="0"/>
    <xf numFmtId="0" fontId="66" fillId="49" borderId="0" applyNumberFormat="0" applyBorder="0" applyAlignment="0" applyProtection="0"/>
    <xf numFmtId="0" fontId="31" fillId="5" borderId="0" applyNumberFormat="0" applyBorder="0" applyAlignment="0" applyProtection="0"/>
    <xf numFmtId="0" fontId="66" fillId="50" borderId="0" applyNumberFormat="0" applyBorder="0" applyAlignment="0" applyProtection="0"/>
    <xf numFmtId="0" fontId="31" fillId="14" borderId="0" applyNumberFormat="0" applyBorder="0" applyAlignment="0" applyProtection="0"/>
    <xf numFmtId="0" fontId="66" fillId="51" borderId="0" applyNumberFormat="0" applyBorder="0" applyAlignment="0" applyProtection="0"/>
    <xf numFmtId="0" fontId="5" fillId="0" borderId="0"/>
    <xf numFmtId="0" fontId="4" fillId="0" borderId="0"/>
    <xf numFmtId="0" fontId="68" fillId="39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33" borderId="0" applyNumberFormat="0" applyBorder="0" applyAlignment="0" applyProtection="0"/>
    <xf numFmtId="0" fontId="3" fillId="22" borderId="0" applyNumberFormat="0" applyBorder="0" applyAlignment="0" applyProtection="0"/>
    <xf numFmtId="0" fontId="3" fillId="28" borderId="0" applyNumberFormat="0" applyBorder="0" applyAlignment="0" applyProtection="0"/>
    <xf numFmtId="0" fontId="3" fillId="34" borderId="0" applyNumberFormat="0" applyBorder="0" applyAlignment="0" applyProtection="0"/>
    <xf numFmtId="0" fontId="3" fillId="23" borderId="0" applyNumberFormat="0" applyBorder="0" applyAlignment="0" applyProtection="0"/>
    <xf numFmtId="0" fontId="3" fillId="29" borderId="0" applyNumberFormat="0" applyBorder="0" applyAlignment="0" applyProtection="0"/>
    <xf numFmtId="0" fontId="3" fillId="35" borderId="0" applyNumberFormat="0" applyBorder="0" applyAlignment="0" applyProtection="0"/>
    <xf numFmtId="0" fontId="3" fillId="24" borderId="0" applyNumberFormat="0" applyBorder="0" applyAlignment="0" applyProtection="0"/>
    <xf numFmtId="0" fontId="3" fillId="30" borderId="0" applyNumberFormat="0" applyBorder="0" applyAlignment="0" applyProtection="0"/>
    <xf numFmtId="0" fontId="3" fillId="36" borderId="0" applyNumberFormat="0" applyBorder="0" applyAlignment="0" applyProtection="0"/>
    <xf numFmtId="0" fontId="3" fillId="25" borderId="0" applyNumberFormat="0" applyBorder="0" applyAlignment="0" applyProtection="0"/>
    <xf numFmtId="0" fontId="3" fillId="31" borderId="0" applyNumberFormat="0" applyBorder="0" applyAlignment="0" applyProtection="0"/>
    <xf numFmtId="0" fontId="3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128" fillId="0" borderId="0" applyNumberFormat="0" applyFill="0" applyBorder="0" applyAlignment="0" applyProtection="0"/>
    <xf numFmtId="0" fontId="129" fillId="41" borderId="0" applyNumberFormat="0" applyBorder="0" applyAlignment="0" applyProtection="0"/>
    <xf numFmtId="0" fontId="3" fillId="42" borderId="100" applyNumberFormat="0" applyFont="0" applyAlignment="0" applyProtection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2135">
    <xf numFmtId="0" fontId="0" fillId="0" borderId="0" xfId="0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8" fillId="0" borderId="12" xfId="0" applyFont="1" applyBorder="1" applyAlignment="1">
      <alignment horizontal="center"/>
    </xf>
    <xf numFmtId="0" fontId="0" fillId="0" borderId="0" xfId="0" applyFill="1"/>
    <xf numFmtId="0" fontId="6" fillId="0" borderId="0" xfId="0" applyFont="1"/>
    <xf numFmtId="4" fontId="6" fillId="0" borderId="0" xfId="0" applyNumberFormat="1" applyFont="1"/>
    <xf numFmtId="166" fontId="0" fillId="0" borderId="0" xfId="0" applyNumberFormat="1"/>
    <xf numFmtId="0" fontId="0" fillId="0" borderId="0" xfId="0" applyAlignment="1">
      <alignment vertic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/>
    </xf>
    <xf numFmtId="4" fontId="6" fillId="0" borderId="0" xfId="0" applyNumberFormat="1" applyFont="1" applyBorder="1"/>
    <xf numFmtId="0" fontId="13" fillId="0" borderId="14" xfId="54" applyFont="1" applyFill="1" applyBorder="1" applyAlignment="1">
      <alignment horizontal="left"/>
    </xf>
    <xf numFmtId="0" fontId="19" fillId="0" borderId="0" xfId="54" applyFont="1"/>
    <xf numFmtId="0" fontId="20" fillId="0" borderId="0" xfId="54" applyFont="1" applyAlignment="1">
      <alignment horizontal="center"/>
    </xf>
    <xf numFmtId="0" fontId="24" fillId="0" borderId="0" xfId="54" applyFont="1" applyAlignment="1">
      <alignment horizontal="center"/>
    </xf>
    <xf numFmtId="0" fontId="25" fillId="0" borderId="0" xfId="54" applyFont="1" applyAlignment="1">
      <alignment horizontal="center"/>
    </xf>
    <xf numFmtId="0" fontId="19" fillId="0" borderId="15" xfId="54" applyFont="1" applyFill="1" applyBorder="1" applyAlignment="1">
      <alignment horizontal="center"/>
    </xf>
    <xf numFmtId="0" fontId="19" fillId="0" borderId="14" xfId="54" applyFont="1" applyFill="1" applyBorder="1"/>
    <xf numFmtId="0" fontId="13" fillId="0" borderId="16" xfId="54" applyFont="1" applyFill="1" applyBorder="1" applyAlignment="1">
      <alignment horizontal="left"/>
    </xf>
    <xf numFmtId="0" fontId="13" fillId="0" borderId="17" xfId="54" applyFont="1" applyFill="1" applyBorder="1" applyAlignment="1">
      <alignment horizontal="center"/>
    </xf>
    <xf numFmtId="0" fontId="19" fillId="0" borderId="14" xfId="54" applyFont="1" applyFill="1" applyBorder="1" applyAlignment="1">
      <alignment horizontal="center"/>
    </xf>
    <xf numFmtId="0" fontId="19" fillId="0" borderId="0" xfId="54" applyFont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0" xfId="0" applyFont="1" applyBorder="1"/>
    <xf numFmtId="0" fontId="29" fillId="0" borderId="0" xfId="0" applyFont="1" applyAlignment="1"/>
    <xf numFmtId="0" fontId="19" fillId="0" borderId="0" xfId="54" applyFont="1" applyFill="1"/>
    <xf numFmtId="0" fontId="19" fillId="0" borderId="0" xfId="54" applyFont="1" applyFill="1" applyBorder="1"/>
    <xf numFmtId="0" fontId="18" fillId="0" borderId="0" xfId="54" applyFill="1"/>
    <xf numFmtId="0" fontId="19" fillId="0" borderId="0" xfId="54" applyFont="1" applyFill="1" applyBorder="1" applyAlignment="1">
      <alignment horizontal="center"/>
    </xf>
    <xf numFmtId="0" fontId="25" fillId="0" borderId="0" xfId="54" applyFont="1" applyFill="1" applyBorder="1" applyAlignment="1">
      <alignment horizontal="center"/>
    </xf>
    <xf numFmtId="0" fontId="24" fillId="0" borderId="0" xfId="54" applyFont="1" applyFill="1" applyAlignment="1">
      <alignment horizontal="center"/>
    </xf>
    <xf numFmtId="0" fontId="25" fillId="0" borderId="0" xfId="54" applyFont="1" applyFill="1" applyAlignment="1">
      <alignment horizontal="center"/>
    </xf>
    <xf numFmtId="0" fontId="26" fillId="0" borderId="20" xfId="54" applyFont="1" applyFill="1" applyBorder="1" applyAlignment="1">
      <alignment horizontal="center"/>
    </xf>
    <xf numFmtId="0" fontId="20" fillId="0" borderId="0" xfId="54" applyFont="1" applyFill="1"/>
    <xf numFmtId="0" fontId="26" fillId="0" borderId="0" xfId="54" applyFont="1" applyFill="1"/>
    <xf numFmtId="0" fontId="13" fillId="0" borderId="0" xfId="54" applyFont="1" applyFill="1" applyBorder="1"/>
    <xf numFmtId="0" fontId="13" fillId="0" borderId="0" xfId="54" applyFont="1" applyFill="1" applyBorder="1" applyAlignment="1">
      <alignment horizontal="left"/>
    </xf>
    <xf numFmtId="166" fontId="13" fillId="0" borderId="0" xfId="54" applyNumberFormat="1" applyFont="1" applyFill="1" applyBorder="1" applyAlignment="1">
      <alignment horizontal="right"/>
    </xf>
    <xf numFmtId="2" fontId="13" fillId="0" borderId="0" xfId="54" applyNumberFormat="1" applyFont="1" applyFill="1" applyBorder="1" applyAlignment="1">
      <alignment horizontal="right"/>
    </xf>
    <xf numFmtId="0" fontId="8" fillId="0" borderId="0" xfId="0" applyFont="1" applyBorder="1"/>
    <xf numFmtId="166" fontId="8" fillId="0" borderId="0" xfId="0" applyNumberFormat="1" applyFont="1" applyBorder="1"/>
    <xf numFmtId="4" fontId="27" fillId="0" borderId="21" xfId="54" applyNumberFormat="1" applyFont="1" applyFill="1" applyBorder="1" applyAlignment="1">
      <alignment horizontal="right"/>
    </xf>
    <xf numFmtId="4" fontId="24" fillId="0" borderId="22" xfId="54" applyNumberFormat="1" applyFont="1" applyFill="1" applyBorder="1" applyAlignment="1">
      <alignment horizontal="right"/>
    </xf>
    <xf numFmtId="4" fontId="19" fillId="0" borderId="23" xfId="54" applyNumberFormat="1" applyFont="1" applyFill="1" applyBorder="1" applyAlignment="1">
      <alignment horizontal="right"/>
    </xf>
    <xf numFmtId="4" fontId="24" fillId="0" borderId="23" xfId="54" applyNumberFormat="1" applyFont="1" applyFill="1" applyBorder="1" applyAlignment="1">
      <alignment horizontal="right"/>
    </xf>
    <xf numFmtId="0" fontId="13" fillId="0" borderId="14" xfId="54" applyFont="1" applyFill="1" applyBorder="1" applyAlignment="1">
      <alignment horizontal="center"/>
    </xf>
    <xf numFmtId="4" fontId="13" fillId="0" borderId="23" xfId="54" applyNumberFormat="1" applyFont="1" applyFill="1" applyBorder="1" applyAlignment="1">
      <alignment horizontal="right"/>
    </xf>
    <xf numFmtId="4" fontId="13" fillId="0" borderId="24" xfId="54" applyNumberFormat="1" applyFont="1" applyFill="1" applyBorder="1" applyAlignment="1">
      <alignment horizontal="right"/>
    </xf>
    <xf numFmtId="4" fontId="13" fillId="0" borderId="25" xfId="54" applyNumberFormat="1" applyFont="1" applyFill="1" applyBorder="1" applyAlignment="1">
      <alignment horizontal="right"/>
    </xf>
    <xf numFmtId="4" fontId="24" fillId="0" borderId="21" xfId="54" applyNumberFormat="1" applyFont="1" applyFill="1" applyBorder="1" applyAlignment="1">
      <alignment horizontal="right"/>
    </xf>
    <xf numFmtId="0" fontId="13" fillId="0" borderId="26" xfId="54" applyFont="1" applyFill="1" applyBorder="1"/>
    <xf numFmtId="0" fontId="13" fillId="0" borderId="27" xfId="54" applyFont="1" applyFill="1" applyBorder="1" applyAlignment="1">
      <alignment horizontal="center"/>
    </xf>
    <xf numFmtId="0" fontId="13" fillId="0" borderId="28" xfId="54" applyFont="1" applyFill="1" applyBorder="1" applyAlignment="1">
      <alignment horizontal="center"/>
    </xf>
    <xf numFmtId="0" fontId="13" fillId="0" borderId="29" xfId="54" applyFont="1" applyFill="1" applyBorder="1" applyAlignment="1">
      <alignment horizontal="center"/>
    </xf>
    <xf numFmtId="4" fontId="6" fillId="0" borderId="30" xfId="0" applyNumberFormat="1" applyFont="1" applyFill="1" applyBorder="1"/>
    <xf numFmtId="0" fontId="9" fillId="0" borderId="0" xfId="0" applyFont="1"/>
    <xf numFmtId="0" fontId="13" fillId="0" borderId="29" xfId="54" applyFont="1" applyFill="1" applyBorder="1" applyAlignment="1">
      <alignment horizontal="left"/>
    </xf>
    <xf numFmtId="0" fontId="48" fillId="0" borderId="0" xfId="50" applyFont="1"/>
    <xf numFmtId="0" fontId="48" fillId="0" borderId="0" xfId="50" applyFont="1" applyAlignment="1">
      <alignment wrapText="1"/>
    </xf>
    <xf numFmtId="0" fontId="6" fillId="0" borderId="15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40"/>
    <xf numFmtId="0" fontId="6" fillId="0" borderId="0" xfId="40" applyFont="1"/>
    <xf numFmtId="0" fontId="6" fillId="0" borderId="0" xfId="40" applyFont="1" applyAlignment="1">
      <alignment vertical="center"/>
    </xf>
    <xf numFmtId="4" fontId="6" fillId="0" borderId="0" xfId="40" applyNumberFormat="1" applyFont="1"/>
    <xf numFmtId="0" fontId="9" fillId="0" borderId="0" xfId="0" applyFont="1" applyAlignment="1">
      <alignment vertical="center"/>
    </xf>
    <xf numFmtId="49" fontId="12" fillId="0" borderId="31" xfId="53" applyNumberFormat="1" applyFont="1" applyBorder="1" applyAlignment="1">
      <alignment horizontal="right" vertical="center"/>
    </xf>
    <xf numFmtId="0" fontId="82" fillId="0" borderId="0" xfId="0" applyFont="1" applyAlignment="1">
      <alignment horizontal="center" vertical="center"/>
    </xf>
    <xf numFmtId="4" fontId="82" fillId="0" borderId="0" xfId="0" applyNumberFormat="1" applyFont="1" applyAlignment="1">
      <alignment horizontal="right" vertical="center"/>
    </xf>
    <xf numFmtId="49" fontId="83" fillId="0" borderId="0" xfId="0" applyNumberFormat="1" applyFont="1" applyBorder="1" applyAlignment="1">
      <alignment horizontal="center" vertical="center" wrapText="1"/>
    </xf>
    <xf numFmtId="4" fontId="84" fillId="0" borderId="0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9" fontId="85" fillId="0" borderId="0" xfId="0" applyNumberFormat="1" applyFont="1" applyAlignment="1">
      <alignment horizontal="right" vertical="center"/>
    </xf>
    <xf numFmtId="0" fontId="9" fillId="0" borderId="0" xfId="0" applyFont="1" applyFill="1"/>
    <xf numFmtId="0" fontId="86" fillId="0" borderId="0" xfId="0" applyFont="1"/>
    <xf numFmtId="0" fontId="13" fillId="0" borderId="32" xfId="54" applyFont="1" applyFill="1" applyBorder="1" applyAlignment="1">
      <alignment horizontal="left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/>
    </xf>
    <xf numFmtId="0" fontId="6" fillId="0" borderId="33" xfId="0" applyFont="1" applyFill="1" applyBorder="1"/>
    <xf numFmtId="4" fontId="6" fillId="0" borderId="34" xfId="0" applyNumberFormat="1" applyFont="1" applyFill="1" applyBorder="1"/>
    <xf numFmtId="49" fontId="6" fillId="0" borderId="31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/>
    </xf>
    <xf numFmtId="0" fontId="6" fillId="0" borderId="36" xfId="0" applyFont="1" applyFill="1" applyBorder="1"/>
    <xf numFmtId="4" fontId="6" fillId="0" borderId="37" xfId="0" applyNumberFormat="1" applyFont="1" applyFill="1" applyBorder="1"/>
    <xf numFmtId="49" fontId="6" fillId="0" borderId="2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5" xfId="0" applyFont="1" applyFill="1" applyBorder="1"/>
    <xf numFmtId="4" fontId="6" fillId="0" borderId="38" xfId="0" applyNumberFormat="1" applyFont="1" applyFill="1" applyBorder="1"/>
    <xf numFmtId="4" fontId="6" fillId="0" borderId="39" xfId="0" applyNumberFormat="1" applyFont="1" applyFill="1" applyBorder="1"/>
    <xf numFmtId="49" fontId="6" fillId="0" borderId="40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4" fontId="6" fillId="0" borderId="11" xfId="0" applyNumberFormat="1" applyFont="1" applyFill="1" applyBorder="1"/>
    <xf numFmtId="4" fontId="6" fillId="0" borderId="41" xfId="0" applyNumberFormat="1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17" xfId="0" applyFont="1" applyFill="1" applyBorder="1" applyAlignment="1">
      <alignment horizontal="center"/>
    </xf>
    <xf numFmtId="0" fontId="6" fillId="0" borderId="17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" fontId="6" fillId="0" borderId="42" xfId="0" applyNumberFormat="1" applyFont="1" applyFill="1" applyBorder="1"/>
    <xf numFmtId="0" fontId="6" fillId="0" borderId="35" xfId="0" applyFont="1" applyFill="1" applyBorder="1" applyAlignment="1">
      <alignment horizontal="left" vertical="center" wrapText="1"/>
    </xf>
    <xf numFmtId="4" fontId="6" fillId="0" borderId="43" xfId="0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" fontId="6" fillId="0" borderId="14" xfId="0" applyNumberFormat="1" applyFont="1" applyFill="1" applyBorder="1" applyAlignment="1">
      <alignment horizontal="right" vertical="center"/>
    </xf>
    <xf numFmtId="0" fontId="87" fillId="0" borderId="0" xfId="0" applyFont="1"/>
    <xf numFmtId="0" fontId="10" fillId="0" borderId="0" xfId="40" applyFont="1" applyAlignment="1">
      <alignment horizontal="center"/>
    </xf>
    <xf numFmtId="0" fontId="8" fillId="0" borderId="0" xfId="40" applyFont="1" applyAlignment="1">
      <alignment horizontal="center"/>
    </xf>
    <xf numFmtId="0" fontId="8" fillId="0" borderId="50" xfId="40" applyFont="1" applyBorder="1" applyAlignment="1">
      <alignment horizontal="center"/>
    </xf>
    <xf numFmtId="0" fontId="8" fillId="0" borderId="12" xfId="40" applyFont="1" applyBorder="1" applyAlignment="1">
      <alignment horizontal="center"/>
    </xf>
    <xf numFmtId="0" fontId="8" fillId="0" borderId="10" xfId="40" applyFont="1" applyBorder="1" applyAlignment="1">
      <alignment horizontal="center"/>
    </xf>
    <xf numFmtId="0" fontId="8" fillId="0" borderId="11" xfId="40" applyFont="1" applyBorder="1" applyAlignment="1">
      <alignment horizontal="center"/>
    </xf>
    <xf numFmtId="0" fontId="12" fillId="0" borderId="51" xfId="40" applyFont="1" applyBorder="1"/>
    <xf numFmtId="4" fontId="12" fillId="0" borderId="33" xfId="40" applyNumberFormat="1" applyFont="1" applyBorder="1"/>
    <xf numFmtId="10" fontId="12" fillId="0" borderId="39" xfId="40" applyNumberFormat="1" applyFont="1" applyBorder="1" applyAlignment="1">
      <alignment vertical="center"/>
    </xf>
    <xf numFmtId="0" fontId="12" fillId="0" borderId="44" xfId="40" applyFont="1" applyBorder="1" applyAlignment="1">
      <alignment vertical="center" wrapText="1"/>
    </xf>
    <xf numFmtId="4" fontId="12" fillId="0" borderId="52" xfId="40" applyNumberFormat="1" applyFont="1" applyBorder="1" applyAlignment="1">
      <alignment vertical="center"/>
    </xf>
    <xf numFmtId="4" fontId="12" fillId="0" borderId="14" xfId="40" applyNumberFormat="1" applyFont="1" applyBorder="1" applyAlignment="1">
      <alignment vertical="center"/>
    </xf>
    <xf numFmtId="0" fontId="12" fillId="0" borderId="23" xfId="40" applyFont="1" applyBorder="1" applyAlignment="1">
      <alignment vertical="center" wrapText="1"/>
    </xf>
    <xf numFmtId="10" fontId="12" fillId="0" borderId="39" xfId="40" applyNumberFormat="1" applyFont="1" applyBorder="1" applyAlignment="1">
      <alignment horizontal="center" vertical="center"/>
    </xf>
    <xf numFmtId="0" fontId="12" fillId="0" borderId="26" xfId="40" applyFont="1" applyBorder="1"/>
    <xf numFmtId="4" fontId="12" fillId="0" borderId="40" xfId="40" applyNumberFormat="1" applyFont="1" applyBorder="1"/>
    <xf numFmtId="4" fontId="12" fillId="0" borderId="27" xfId="40" applyNumberFormat="1" applyFont="1" applyBorder="1"/>
    <xf numFmtId="10" fontId="12" fillId="0" borderId="41" xfId="40" applyNumberFormat="1" applyFont="1" applyBorder="1" applyAlignment="1">
      <alignment horizontal="center"/>
    </xf>
    <xf numFmtId="0" fontId="7" fillId="0" borderId="50" xfId="40" applyFont="1" applyBorder="1"/>
    <xf numFmtId="4" fontId="7" fillId="0" borderId="12" xfId="40" applyNumberFormat="1" applyFont="1" applyBorder="1"/>
    <xf numFmtId="4" fontId="7" fillId="0" borderId="10" xfId="40" applyNumberFormat="1" applyFont="1" applyBorder="1"/>
    <xf numFmtId="4" fontId="7" fillId="0" borderId="53" xfId="40" applyNumberFormat="1" applyFont="1" applyBorder="1"/>
    <xf numFmtId="10" fontId="7" fillId="0" borderId="11" xfId="40" applyNumberFormat="1" applyFont="1" applyBorder="1"/>
    <xf numFmtId="166" fontId="6" fillId="0" borderId="0" xfId="40" applyNumberFormat="1" applyFont="1"/>
    <xf numFmtId="10" fontId="12" fillId="0" borderId="34" xfId="40" applyNumberFormat="1" applyFont="1" applyBorder="1"/>
    <xf numFmtId="0" fontId="12" fillId="0" borderId="46" xfId="40" applyFont="1" applyBorder="1"/>
    <xf numFmtId="4" fontId="12" fillId="0" borderId="14" xfId="40" applyNumberFormat="1" applyFont="1" applyBorder="1"/>
    <xf numFmtId="10" fontId="12" fillId="0" borderId="39" xfId="40" applyNumberFormat="1" applyFont="1" applyBorder="1"/>
    <xf numFmtId="4" fontId="12" fillId="0" borderId="14" xfId="40" applyNumberFormat="1" applyFont="1" applyBorder="1" applyAlignment="1">
      <alignment horizontal="right"/>
    </xf>
    <xf numFmtId="10" fontId="12" fillId="0" borderId="39" xfId="40" applyNumberFormat="1" applyFont="1" applyBorder="1" applyAlignment="1">
      <alignment horizontal="center"/>
    </xf>
    <xf numFmtId="0" fontId="12" fillId="0" borderId="54" xfId="40" applyFont="1" applyBorder="1"/>
    <xf numFmtId="4" fontId="12" fillId="0" borderId="35" xfId="40" applyNumberFormat="1" applyFont="1" applyBorder="1" applyAlignment="1">
      <alignment horizontal="right"/>
    </xf>
    <xf numFmtId="10" fontId="12" fillId="0" borderId="42" xfId="40" applyNumberFormat="1" applyFont="1" applyBorder="1"/>
    <xf numFmtId="4" fontId="7" fillId="0" borderId="50" xfId="40" applyNumberFormat="1" applyFont="1" applyBorder="1"/>
    <xf numFmtId="0" fontId="7" fillId="0" borderId="0" xfId="40" applyFont="1" applyBorder="1"/>
    <xf numFmtId="166" fontId="7" fillId="0" borderId="0" xfId="40" applyNumberFormat="1" applyFont="1" applyBorder="1"/>
    <xf numFmtId="4" fontId="7" fillId="0" borderId="0" xfId="40" applyNumberFormat="1" applyFont="1" applyBorder="1"/>
    <xf numFmtId="166" fontId="9" fillId="0" borderId="0" xfId="40" applyNumberFormat="1"/>
    <xf numFmtId="0" fontId="8" fillId="0" borderId="50" xfId="40" applyFont="1" applyBorder="1" applyAlignment="1">
      <alignment horizontal="center" vertical="center"/>
    </xf>
    <xf numFmtId="166" fontId="8" fillId="0" borderId="12" xfId="40" applyNumberFormat="1" applyFont="1" applyBorder="1" applyAlignment="1">
      <alignment horizontal="center" vertical="center"/>
    </xf>
    <xf numFmtId="166" fontId="8" fillId="0" borderId="10" xfId="40" applyNumberFormat="1" applyFont="1" applyBorder="1" applyAlignment="1">
      <alignment horizontal="center" vertical="center"/>
    </xf>
    <xf numFmtId="166" fontId="8" fillId="0" borderId="10" xfId="40" applyNumberFormat="1" applyFont="1" applyBorder="1" applyAlignment="1">
      <alignment horizontal="center" vertical="center" wrapText="1"/>
    </xf>
    <xf numFmtId="4" fontId="8" fillId="0" borderId="11" xfId="40" applyNumberFormat="1" applyFont="1" applyBorder="1" applyAlignment="1">
      <alignment horizontal="center" vertical="center"/>
    </xf>
    <xf numFmtId="0" fontId="7" fillId="52" borderId="26" xfId="40" applyFont="1" applyFill="1" applyBorder="1"/>
    <xf numFmtId="4" fontId="7" fillId="52" borderId="40" xfId="40" applyNumberFormat="1" applyFont="1" applyFill="1" applyBorder="1"/>
    <xf numFmtId="4" fontId="7" fillId="52" borderId="27" xfId="40" applyNumberFormat="1" applyFont="1" applyFill="1" applyBorder="1"/>
    <xf numFmtId="4" fontId="11" fillId="52" borderId="41" xfId="40" applyNumberFormat="1" applyFont="1" applyFill="1" applyBorder="1" applyAlignment="1">
      <alignment horizontal="center" vertical="center"/>
    </xf>
    <xf numFmtId="4" fontId="9" fillId="0" borderId="0" xfId="40" applyNumberFormat="1"/>
    <xf numFmtId="4" fontId="7" fillId="0" borderId="29" xfId="40" applyNumberFormat="1" applyFont="1" applyBorder="1"/>
    <xf numFmtId="10" fontId="12" fillId="0" borderId="38" xfId="40" applyNumberFormat="1" applyFont="1" applyBorder="1"/>
    <xf numFmtId="10" fontId="12" fillId="0" borderId="38" xfId="40" applyNumberFormat="1" applyFont="1" applyBorder="1" applyAlignment="1">
      <alignment horizontal="center"/>
    </xf>
    <xf numFmtId="0" fontId="14" fillId="0" borderId="0" xfId="0" applyFont="1"/>
    <xf numFmtId="0" fontId="8" fillId="0" borderId="57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51" fillId="0" borderId="16" xfId="0" applyFont="1" applyFill="1" applyBorder="1"/>
    <xf numFmtId="14" fontId="51" fillId="0" borderId="60" xfId="0" applyNumberFormat="1" applyFont="1" applyFill="1" applyBorder="1" applyAlignment="1">
      <alignment horizontal="center"/>
    </xf>
    <xf numFmtId="4" fontId="12" fillId="0" borderId="62" xfId="0" applyNumberFormat="1" applyFont="1" applyFill="1" applyBorder="1"/>
    <xf numFmtId="4" fontId="12" fillId="0" borderId="23" xfId="0" applyNumberFormat="1" applyFont="1" applyFill="1" applyBorder="1" applyAlignment="1">
      <alignment horizontal="right"/>
    </xf>
    <xf numFmtId="4" fontId="12" fillId="0" borderId="52" xfId="0" applyNumberFormat="1" applyFont="1" applyFill="1" applyBorder="1"/>
    <xf numFmtId="4" fontId="12" fillId="0" borderId="16" xfId="0" applyNumberFormat="1" applyFont="1" applyFill="1" applyBorder="1"/>
    <xf numFmtId="4" fontId="12" fillId="0" borderId="39" xfId="0" applyNumberFormat="1" applyFont="1" applyFill="1" applyBorder="1"/>
    <xf numFmtId="0" fontId="51" fillId="0" borderId="62" xfId="0" applyFont="1" applyFill="1" applyBorder="1"/>
    <xf numFmtId="4" fontId="12" fillId="0" borderId="56" xfId="0" applyNumberFormat="1" applyFont="1" applyFill="1" applyBorder="1"/>
    <xf numFmtId="4" fontId="12" fillId="0" borderId="44" xfId="0" applyNumberFormat="1" applyFont="1" applyFill="1" applyBorder="1"/>
    <xf numFmtId="4" fontId="12" fillId="0" borderId="38" xfId="0" applyNumberFormat="1" applyFont="1" applyFill="1" applyBorder="1"/>
    <xf numFmtId="4" fontId="12" fillId="0" borderId="23" xfId="0" applyNumberFormat="1" applyFont="1" applyFill="1" applyBorder="1"/>
    <xf numFmtId="4" fontId="12" fillId="0" borderId="46" xfId="0" applyNumberFormat="1" applyFont="1" applyFill="1" applyBorder="1" applyAlignment="1">
      <alignment horizontal="right"/>
    </xf>
    <xf numFmtId="4" fontId="12" fillId="0" borderId="16" xfId="0" applyNumberFormat="1" applyFont="1" applyFill="1" applyBorder="1" applyAlignment="1">
      <alignment horizontal="right"/>
    </xf>
    <xf numFmtId="4" fontId="12" fillId="0" borderId="46" xfId="0" applyNumberFormat="1" applyFont="1" applyFill="1" applyBorder="1"/>
    <xf numFmtId="4" fontId="12" fillId="0" borderId="14" xfId="0" applyNumberFormat="1" applyFont="1" applyFill="1" applyBorder="1"/>
    <xf numFmtId="4" fontId="12" fillId="0" borderId="64" xfId="0" applyNumberFormat="1" applyFont="1" applyFill="1" applyBorder="1"/>
    <xf numFmtId="0" fontId="12" fillId="0" borderId="44" xfId="0" applyFont="1" applyFill="1" applyBorder="1" applyAlignment="1">
      <alignment horizontal="center" vertical="center" wrapText="1"/>
    </xf>
    <xf numFmtId="4" fontId="12" fillId="0" borderId="66" xfId="0" applyNumberFormat="1" applyFont="1" applyFill="1" applyBorder="1"/>
    <xf numFmtId="0" fontId="12" fillId="0" borderId="46" xfId="0" applyFont="1" applyFill="1" applyBorder="1" applyAlignment="1">
      <alignment horizontal="center" vertical="center" wrapText="1"/>
    </xf>
    <xf numFmtId="0" fontId="51" fillId="0" borderId="39" xfId="0" applyFont="1" applyFill="1" applyBorder="1"/>
    <xf numFmtId="4" fontId="12" fillId="53" borderId="21" xfId="0" applyNumberFormat="1" applyFont="1" applyFill="1" applyBorder="1"/>
    <xf numFmtId="4" fontId="12" fillId="53" borderId="50" xfId="0" applyNumberFormat="1" applyFont="1" applyFill="1" applyBorder="1"/>
    <xf numFmtId="4" fontId="12" fillId="53" borderId="29" xfId="0" applyNumberFormat="1" applyFont="1" applyFill="1" applyBorder="1"/>
    <xf numFmtId="4" fontId="12" fillId="53" borderId="11" xfId="0" applyNumberFormat="1" applyFont="1" applyFill="1" applyBorder="1"/>
    <xf numFmtId="4" fontId="12" fillId="0" borderId="68" xfId="0" applyNumberFormat="1" applyFont="1" applyFill="1" applyBorder="1"/>
    <xf numFmtId="4" fontId="12" fillId="0" borderId="70" xfId="0" applyNumberFormat="1" applyFont="1" applyFill="1" applyBorder="1"/>
    <xf numFmtId="4" fontId="12" fillId="0" borderId="42" xfId="0" applyNumberFormat="1" applyFont="1" applyFill="1" applyBorder="1"/>
    <xf numFmtId="0" fontId="51" fillId="0" borderId="66" xfId="0" applyFont="1" applyFill="1" applyBorder="1"/>
    <xf numFmtId="0" fontId="12" fillId="0" borderId="52" xfId="0" applyFont="1" applyFill="1" applyBorder="1" applyAlignment="1">
      <alignment horizontal="center"/>
    </xf>
    <xf numFmtId="0" fontId="12" fillId="0" borderId="16" xfId="0" applyFont="1" applyFill="1" applyBorder="1"/>
    <xf numFmtId="4" fontId="47" fillId="0" borderId="16" xfId="0" applyNumberFormat="1" applyFont="1" applyFill="1" applyBorder="1"/>
    <xf numFmtId="4" fontId="47" fillId="0" borderId="39" xfId="0" applyNumberFormat="1" applyFont="1" applyFill="1" applyBorder="1"/>
    <xf numFmtId="4" fontId="12" fillId="0" borderId="64" xfId="0" applyNumberFormat="1" applyFont="1" applyFill="1" applyBorder="1" applyAlignment="1">
      <alignment horizontal="right"/>
    </xf>
    <xf numFmtId="4" fontId="47" fillId="0" borderId="66" xfId="0" applyNumberFormat="1" applyFont="1" applyFill="1" applyBorder="1"/>
    <xf numFmtId="4" fontId="47" fillId="0" borderId="37" xfId="0" applyNumberFormat="1" applyFont="1" applyFill="1" applyBorder="1"/>
    <xf numFmtId="0" fontId="12" fillId="0" borderId="39" xfId="0" applyFont="1" applyFill="1" applyBorder="1"/>
    <xf numFmtId="0" fontId="12" fillId="0" borderId="62" xfId="0" applyFont="1" applyFill="1" applyBorder="1"/>
    <xf numFmtId="0" fontId="12" fillId="0" borderId="70" xfId="0" applyFont="1" applyFill="1" applyBorder="1"/>
    <xf numFmtId="4" fontId="47" fillId="0" borderId="47" xfId="0" applyNumberFormat="1" applyFont="1" applyFill="1" applyBorder="1"/>
    <xf numFmtId="0" fontId="12" fillId="0" borderId="38" xfId="0" applyFont="1" applyFill="1" applyBorder="1"/>
    <xf numFmtId="14" fontId="51" fillId="0" borderId="44" xfId="0" applyNumberFormat="1" applyFont="1" applyFill="1" applyBorder="1" applyAlignment="1">
      <alignment horizontal="center"/>
    </xf>
    <xf numFmtId="4" fontId="12" fillId="0" borderId="56" xfId="0" applyNumberFormat="1" applyFont="1" applyFill="1" applyBorder="1" applyAlignment="1">
      <alignment horizontal="right"/>
    </xf>
    <xf numFmtId="4" fontId="47" fillId="0" borderId="45" xfId="0" applyNumberFormat="1" applyFont="1" applyFill="1" applyBorder="1"/>
    <xf numFmtId="4" fontId="47" fillId="0" borderId="62" xfId="0" applyNumberFormat="1" applyFont="1" applyFill="1" applyBorder="1"/>
    <xf numFmtId="4" fontId="47" fillId="0" borderId="38" xfId="0" applyNumberFormat="1" applyFont="1" applyFill="1" applyBorder="1"/>
    <xf numFmtId="0" fontId="12" fillId="0" borderId="71" xfId="0" applyFont="1" applyFill="1" applyBorder="1"/>
    <xf numFmtId="4" fontId="12" fillId="0" borderId="24" xfId="0" applyNumberFormat="1" applyFont="1" applyFill="1" applyBorder="1" applyAlignment="1">
      <alignment horizontal="right"/>
    </xf>
    <xf numFmtId="0" fontId="51" fillId="53" borderId="32" xfId="0" applyFont="1" applyFill="1" applyBorder="1"/>
    <xf numFmtId="4" fontId="7" fillId="53" borderId="21" xfId="0" applyNumberFormat="1" applyFont="1" applyFill="1" applyBorder="1"/>
    <xf numFmtId="4" fontId="7" fillId="53" borderId="50" xfId="0" applyNumberFormat="1" applyFont="1" applyFill="1" applyBorder="1"/>
    <xf numFmtId="4" fontId="7" fillId="53" borderId="29" xfId="0" applyNumberFormat="1" applyFont="1" applyFill="1" applyBorder="1"/>
    <xf numFmtId="4" fontId="7" fillId="53" borderId="11" xfId="0" applyNumberFormat="1" applyFont="1" applyFill="1" applyBorder="1"/>
    <xf numFmtId="0" fontId="51" fillId="0" borderId="54" xfId="0" applyFont="1" applyFill="1" applyBorder="1" applyAlignment="1">
      <alignment horizontal="center"/>
    </xf>
    <xf numFmtId="14" fontId="51" fillId="0" borderId="54" xfId="0" applyNumberFormat="1" applyFont="1" applyFill="1" applyBorder="1" applyAlignment="1">
      <alignment horizontal="center"/>
    </xf>
    <xf numFmtId="4" fontId="12" fillId="0" borderId="31" xfId="0" applyNumberFormat="1" applyFont="1" applyFill="1" applyBorder="1"/>
    <xf numFmtId="0" fontId="12" fillId="0" borderId="60" xfId="0" applyFont="1" applyFill="1" applyBorder="1" applyAlignment="1">
      <alignment horizontal="center"/>
    </xf>
    <xf numFmtId="14" fontId="51" fillId="0" borderId="61" xfId="0" applyNumberFormat="1" applyFont="1" applyFill="1" applyBorder="1" applyAlignment="1">
      <alignment horizontal="center"/>
    </xf>
    <xf numFmtId="0" fontId="51" fillId="0" borderId="70" xfId="0" applyFont="1" applyFill="1" applyBorder="1" applyAlignment="1">
      <alignment horizontal="left"/>
    </xf>
    <xf numFmtId="4" fontId="7" fillId="53" borderId="12" xfId="0" applyNumberFormat="1" applyFont="1" applyFill="1" applyBorder="1"/>
    <xf numFmtId="4" fontId="7" fillId="52" borderId="54" xfId="0" applyNumberFormat="1" applyFont="1" applyFill="1" applyBorder="1" applyAlignment="1">
      <alignment horizontal="right"/>
    </xf>
    <xf numFmtId="0" fontId="51" fillId="52" borderId="32" xfId="0" applyFont="1" applyFill="1" applyBorder="1"/>
    <xf numFmtId="4" fontId="12" fillId="52" borderId="21" xfId="0" applyNumberFormat="1" applyFont="1" applyFill="1" applyBorder="1"/>
    <xf numFmtId="4" fontId="12" fillId="52" borderId="50" xfId="0" applyNumberFormat="1" applyFont="1" applyFill="1" applyBorder="1"/>
    <xf numFmtId="0" fontId="6" fillId="0" borderId="0" xfId="0" applyFont="1" applyAlignment="1">
      <alignment horizontal="right"/>
    </xf>
    <xf numFmtId="0" fontId="21" fillId="53" borderId="11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7" fillId="52" borderId="11" xfId="0" applyFont="1" applyFill="1" applyBorder="1" applyAlignment="1">
      <alignment horizontal="left"/>
    </xf>
    <xf numFmtId="4" fontId="7" fillId="52" borderId="21" xfId="0" applyNumberFormat="1" applyFont="1" applyFill="1" applyBorder="1"/>
    <xf numFmtId="4" fontId="7" fillId="52" borderId="11" xfId="0" applyNumberFormat="1" applyFont="1" applyFill="1" applyBorder="1"/>
    <xf numFmtId="0" fontId="12" fillId="52" borderId="11" xfId="0" applyFont="1" applyFill="1" applyBorder="1" applyAlignment="1">
      <alignment horizontal="left"/>
    </xf>
    <xf numFmtId="4" fontId="12" fillId="52" borderId="72" xfId="0" applyNumberFormat="1" applyFont="1" applyFill="1" applyBorder="1"/>
    <xf numFmtId="4" fontId="12" fillId="52" borderId="41" xfId="0" applyNumberFormat="1" applyFont="1" applyFill="1" applyBorder="1"/>
    <xf numFmtId="0" fontId="28" fillId="0" borderId="0" xfId="0" applyFont="1" applyAlignment="1">
      <alignment horizontal="center"/>
    </xf>
    <xf numFmtId="0" fontId="13" fillId="0" borderId="47" xfId="54" applyFont="1" applyFill="1" applyBorder="1" applyAlignment="1">
      <alignment horizontal="left"/>
    </xf>
    <xf numFmtId="0" fontId="9" fillId="0" borderId="0" xfId="43"/>
    <xf numFmtId="0" fontId="9" fillId="0" borderId="0" xfId="43" applyFill="1"/>
    <xf numFmtId="0" fontId="10" fillId="0" borderId="0" xfId="43" applyFont="1" applyAlignment="1">
      <alignment horizontal="center"/>
    </xf>
    <xf numFmtId="0" fontId="10" fillId="0" borderId="0" xfId="43" applyFont="1" applyFill="1" applyAlignment="1">
      <alignment horizontal="center"/>
    </xf>
    <xf numFmtId="0" fontId="11" fillId="0" borderId="0" xfId="43" applyFont="1" applyAlignment="1">
      <alignment horizontal="center"/>
    </xf>
    <xf numFmtId="0" fontId="11" fillId="0" borderId="0" xfId="43" applyFont="1" applyFill="1" applyAlignment="1">
      <alignment horizontal="center"/>
    </xf>
    <xf numFmtId="0" fontId="7" fillId="0" borderId="12" xfId="43" applyFont="1" applyBorder="1" applyAlignment="1">
      <alignment horizontal="center"/>
    </xf>
    <xf numFmtId="0" fontId="7" fillId="0" borderId="10" xfId="43" applyFont="1" applyBorder="1" applyAlignment="1">
      <alignment horizontal="center"/>
    </xf>
    <xf numFmtId="0" fontId="7" fillId="0" borderId="29" xfId="43" applyFont="1" applyBorder="1" applyAlignment="1">
      <alignment horizontal="center"/>
    </xf>
    <xf numFmtId="0" fontId="7" fillId="0" borderId="10" xfId="43" applyFont="1" applyFill="1" applyBorder="1" applyAlignment="1">
      <alignment horizontal="center"/>
    </xf>
    <xf numFmtId="0" fontId="7" fillId="0" borderId="11" xfId="43" applyFont="1" applyBorder="1" applyAlignment="1">
      <alignment horizontal="center"/>
    </xf>
    <xf numFmtId="0" fontId="6" fillId="0" borderId="40" xfId="43" applyFont="1" applyBorder="1" applyAlignment="1">
      <alignment horizontal="center"/>
    </xf>
    <xf numFmtId="0" fontId="6" fillId="0" borderId="66" xfId="43" applyFont="1" applyBorder="1"/>
    <xf numFmtId="4" fontId="6" fillId="0" borderId="36" xfId="43" applyNumberFormat="1" applyFont="1" applyFill="1" applyBorder="1"/>
    <xf numFmtId="4" fontId="6" fillId="0" borderId="39" xfId="43" applyNumberFormat="1" applyFont="1" applyBorder="1" applyAlignment="1">
      <alignment horizontal="right"/>
    </xf>
    <xf numFmtId="4" fontId="7" fillId="0" borderId="10" xfId="43" applyNumberFormat="1" applyFont="1" applyFill="1" applyBorder="1"/>
    <xf numFmtId="4" fontId="7" fillId="0" borderId="29" xfId="43" applyNumberFormat="1" applyFont="1" applyBorder="1"/>
    <xf numFmtId="4" fontId="7" fillId="0" borderId="11" xfId="43" applyNumberFormat="1" applyFont="1" applyBorder="1"/>
    <xf numFmtId="0" fontId="11" fillId="0" borderId="12" xfId="43" applyFont="1" applyBorder="1" applyAlignment="1">
      <alignment horizontal="center"/>
    </xf>
    <xf numFmtId="0" fontId="11" fillId="0" borderId="10" xfId="43" applyFont="1" applyBorder="1" applyAlignment="1">
      <alignment horizontal="center"/>
    </xf>
    <xf numFmtId="0" fontId="11" fillId="0" borderId="29" xfId="43" applyFont="1" applyBorder="1" applyAlignment="1">
      <alignment horizontal="center"/>
    </xf>
    <xf numFmtId="0" fontId="11" fillId="0" borderId="10" xfId="43" applyFont="1" applyFill="1" applyBorder="1" applyAlignment="1">
      <alignment horizontal="center"/>
    </xf>
    <xf numFmtId="0" fontId="6" fillId="0" borderId="52" xfId="43" applyFont="1" applyBorder="1" applyAlignment="1">
      <alignment horizontal="center"/>
    </xf>
    <xf numFmtId="0" fontId="6" fillId="0" borderId="16" xfId="43" applyFont="1" applyBorder="1" applyAlignment="1">
      <alignment horizontal="left"/>
    </xf>
    <xf numFmtId="4" fontId="6" fillId="0" borderId="14" xfId="43" applyNumberFormat="1" applyFont="1" applyFill="1" applyBorder="1" applyAlignment="1">
      <alignment horizontal="right"/>
    </xf>
    <xf numFmtId="4" fontId="6" fillId="0" borderId="14" xfId="43" applyNumberFormat="1" applyFont="1" applyBorder="1" applyAlignment="1">
      <alignment horizontal="right"/>
    </xf>
    <xf numFmtId="0" fontId="6" fillId="0" borderId="31" xfId="43" applyFont="1" applyBorder="1" applyAlignment="1">
      <alignment horizontal="center"/>
    </xf>
    <xf numFmtId="4" fontId="7" fillId="0" borderId="10" xfId="43" applyNumberFormat="1" applyFont="1" applyBorder="1"/>
    <xf numFmtId="0" fontId="6" fillId="0" borderId="0" xfId="43" applyFont="1" applyBorder="1" applyAlignment="1">
      <alignment horizontal="left"/>
    </xf>
    <xf numFmtId="0" fontId="6" fillId="0" borderId="0" xfId="43" applyFont="1" applyFill="1" applyBorder="1" applyAlignment="1">
      <alignment horizontal="left"/>
    </xf>
    <xf numFmtId="0" fontId="7" fillId="0" borderId="0" xfId="43" applyFont="1" applyBorder="1" applyAlignment="1">
      <alignment horizontal="center"/>
    </xf>
    <xf numFmtId="0" fontId="7" fillId="0" borderId="0" xfId="43" applyFont="1" applyBorder="1" applyAlignment="1">
      <alignment horizontal="left"/>
    </xf>
    <xf numFmtId="4" fontId="7" fillId="0" borderId="0" xfId="43" applyNumberFormat="1" applyFont="1" applyFill="1" applyBorder="1"/>
    <xf numFmtId="4" fontId="7" fillId="0" borderId="0" xfId="43" applyNumberFormat="1" applyFont="1" applyBorder="1"/>
    <xf numFmtId="49" fontId="6" fillId="0" borderId="0" xfId="43" applyNumberFormat="1" applyFont="1" applyFill="1" applyBorder="1" applyAlignment="1">
      <alignment horizontal="left" wrapText="1"/>
    </xf>
    <xf numFmtId="0" fontId="11" fillId="0" borderId="71" xfId="43" applyFont="1" applyBorder="1" applyAlignment="1">
      <alignment horizontal="center"/>
    </xf>
    <xf numFmtId="0" fontId="11" fillId="0" borderId="71" xfId="43" applyFont="1" applyFill="1" applyBorder="1" applyAlignment="1">
      <alignment horizontal="center"/>
    </xf>
    <xf numFmtId="0" fontId="6" fillId="0" borderId="14" xfId="43" applyFont="1" applyBorder="1" applyAlignment="1">
      <alignment horizontal="left"/>
    </xf>
    <xf numFmtId="4" fontId="6" fillId="0" borderId="15" xfId="43" applyNumberFormat="1" applyFont="1" applyFill="1" applyBorder="1" applyAlignment="1">
      <alignment horizontal="right"/>
    </xf>
    <xf numFmtId="4" fontId="7" fillId="0" borderId="11" xfId="43" applyNumberFormat="1" applyFont="1" applyFill="1" applyBorder="1"/>
    <xf numFmtId="0" fontId="6" fillId="0" borderId="60" xfId="43" applyFont="1" applyBorder="1" applyAlignment="1">
      <alignment horizontal="center"/>
    </xf>
    <xf numFmtId="0" fontId="7" fillId="0" borderId="12" xfId="43" applyFont="1" applyFill="1" applyBorder="1" applyAlignment="1">
      <alignment horizontal="center"/>
    </xf>
    <xf numFmtId="0" fontId="7" fillId="0" borderId="29" xfId="43" applyFont="1" applyFill="1" applyBorder="1" applyAlignment="1">
      <alignment horizontal="center"/>
    </xf>
    <xf numFmtId="0" fontId="7" fillId="0" borderId="11" xfId="43" applyFont="1" applyFill="1" applyBorder="1" applyAlignment="1">
      <alignment horizontal="center"/>
    </xf>
    <xf numFmtId="0" fontId="6" fillId="0" borderId="31" xfId="43" applyFont="1" applyFill="1" applyBorder="1" applyAlignment="1">
      <alignment horizontal="center"/>
    </xf>
    <xf numFmtId="0" fontId="6" fillId="0" borderId="35" xfId="43" applyFont="1" applyFill="1" applyBorder="1" applyAlignment="1">
      <alignment horizontal="center"/>
    </xf>
    <xf numFmtId="0" fontId="6" fillId="0" borderId="70" xfId="43" applyFont="1" applyFill="1" applyBorder="1" applyAlignment="1">
      <alignment horizontal="left"/>
    </xf>
    <xf numFmtId="4" fontId="6" fillId="0" borderId="37" xfId="43" applyNumberFormat="1" applyFont="1" applyFill="1" applyBorder="1" applyAlignment="1">
      <alignment horizontal="right"/>
    </xf>
    <xf numFmtId="0" fontId="6" fillId="0" borderId="52" xfId="43" applyFont="1" applyFill="1" applyBorder="1" applyAlignment="1">
      <alignment horizontal="center"/>
    </xf>
    <xf numFmtId="49" fontId="6" fillId="0" borderId="14" xfId="43" applyNumberFormat="1" applyFont="1" applyFill="1" applyBorder="1" applyAlignment="1">
      <alignment horizontal="center"/>
    </xf>
    <xf numFmtId="0" fontId="6" fillId="0" borderId="16" xfId="43" applyFont="1" applyFill="1" applyBorder="1" applyAlignment="1">
      <alignment horizontal="left"/>
    </xf>
    <xf numFmtId="4" fontId="6" fillId="0" borderId="14" xfId="43" applyNumberFormat="1" applyFont="1" applyFill="1" applyBorder="1"/>
    <xf numFmtId="4" fontId="6" fillId="0" borderId="15" xfId="43" applyNumberFormat="1" applyFont="1" applyFill="1" applyBorder="1"/>
    <xf numFmtId="4" fontId="6" fillId="0" borderId="39" xfId="43" applyNumberFormat="1" applyFont="1" applyFill="1" applyBorder="1" applyAlignment="1">
      <alignment horizontal="right"/>
    </xf>
    <xf numFmtId="4" fontId="6" fillId="0" borderId="38" xfId="43" applyNumberFormat="1" applyFont="1" applyFill="1" applyBorder="1" applyAlignment="1">
      <alignment horizontal="right"/>
    </xf>
    <xf numFmtId="0" fontId="7" fillId="0" borderId="29" xfId="43" applyFont="1" applyFill="1" applyBorder="1" applyAlignment="1"/>
    <xf numFmtId="4" fontId="7" fillId="0" borderId="10" xfId="43" applyNumberFormat="1" applyFont="1" applyFill="1" applyBorder="1" applyAlignment="1">
      <alignment horizontal="right"/>
    </xf>
    <xf numFmtId="4" fontId="7" fillId="0" borderId="29" xfId="43" applyNumberFormat="1" applyFont="1" applyFill="1" applyBorder="1" applyAlignment="1">
      <alignment horizontal="right"/>
    </xf>
    <xf numFmtId="4" fontId="7" fillId="0" borderId="11" xfId="43" applyNumberFormat="1" applyFont="1" applyFill="1" applyBorder="1" applyAlignment="1">
      <alignment horizontal="right"/>
    </xf>
    <xf numFmtId="0" fontId="7" fillId="0" borderId="0" xfId="43" applyFont="1" applyFill="1" applyBorder="1" applyAlignment="1">
      <alignment horizontal="center"/>
    </xf>
    <xf numFmtId="0" fontId="6" fillId="0" borderId="60" xfId="43" applyFont="1" applyFill="1" applyBorder="1" applyAlignment="1">
      <alignment horizontal="center"/>
    </xf>
    <xf numFmtId="0" fontId="6" fillId="0" borderId="14" xfId="43" applyFont="1" applyFill="1" applyBorder="1" applyAlignment="1">
      <alignment horizontal="center"/>
    </xf>
    <xf numFmtId="49" fontId="6" fillId="0" borderId="70" xfId="43" applyNumberFormat="1" applyFont="1" applyFill="1" applyBorder="1" applyAlignment="1">
      <alignment horizontal="center"/>
    </xf>
    <xf numFmtId="0" fontId="7" fillId="0" borderId="0" xfId="43" applyFont="1" applyFill="1" applyBorder="1" applyAlignment="1"/>
    <xf numFmtId="4" fontId="7" fillId="0" borderId="0" xfId="43" applyNumberFormat="1" applyFont="1" applyFill="1" applyBorder="1" applyAlignment="1">
      <alignment horizontal="right"/>
    </xf>
    <xf numFmtId="0" fontId="6" fillId="0" borderId="14" xfId="0" applyFont="1" applyBorder="1" applyAlignment="1">
      <alignment horizontal="left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49" fontId="11" fillId="0" borderId="0" xfId="50" applyNumberFormat="1" applyFont="1" applyAlignment="1">
      <alignment horizontal="right"/>
    </xf>
    <xf numFmtId="0" fontId="53" fillId="0" borderId="0" xfId="0" applyFont="1" applyAlignment="1"/>
    <xf numFmtId="0" fontId="6" fillId="0" borderId="35" xfId="0" applyFont="1" applyFill="1" applyBorder="1" applyAlignment="1">
      <alignment horizontal="left" vertical="top" wrapText="1"/>
    </xf>
    <xf numFmtId="0" fontId="48" fillId="0" borderId="0" xfId="50" applyFont="1" applyFill="1"/>
    <xf numFmtId="0" fontId="19" fillId="0" borderId="0" xfId="54" applyFont="1" applyFill="1" applyBorder="1" applyAlignment="1">
      <alignment vertical="center"/>
    </xf>
    <xf numFmtId="4" fontId="27" fillId="52" borderId="21" xfId="54" applyNumberFormat="1" applyFont="1" applyFill="1" applyBorder="1" applyAlignment="1">
      <alignment horizontal="right" vertical="center"/>
    </xf>
    <xf numFmtId="0" fontId="19" fillId="0" borderId="0" xfId="54" applyFont="1" applyFill="1" applyAlignment="1">
      <alignment vertical="center"/>
    </xf>
    <xf numFmtId="0" fontId="18" fillId="0" borderId="0" xfId="54" applyFill="1" applyAlignment="1">
      <alignment vertical="center"/>
    </xf>
    <xf numFmtId="0" fontId="8" fillId="52" borderId="10" xfId="0" applyFont="1" applyFill="1" applyBorder="1" applyAlignment="1">
      <alignment horizontal="center" vertical="center"/>
    </xf>
    <xf numFmtId="0" fontId="8" fillId="52" borderId="10" xfId="0" applyFont="1" applyFill="1" applyBorder="1" applyAlignment="1">
      <alignment vertical="center"/>
    </xf>
    <xf numFmtId="4" fontId="8" fillId="52" borderId="1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9" fillId="0" borderId="0" xfId="54" applyFont="1" applyAlignment="1">
      <alignment vertical="center"/>
    </xf>
    <xf numFmtId="0" fontId="24" fillId="0" borderId="0" xfId="54" applyFont="1" applyAlignment="1">
      <alignment horizontal="center" vertical="center"/>
    </xf>
    <xf numFmtId="0" fontId="25" fillId="0" borderId="0" xfId="54" applyFont="1" applyAlignment="1">
      <alignment horizontal="center" vertical="center"/>
    </xf>
    <xf numFmtId="4" fontId="18" fillId="0" borderId="0" xfId="54" applyNumberFormat="1" applyFill="1" applyAlignment="1">
      <alignment vertical="center"/>
    </xf>
    <xf numFmtId="0" fontId="0" fillId="0" borderId="0" xfId="0" applyBorder="1" applyAlignment="1">
      <alignment vertical="center"/>
    </xf>
    <xf numFmtId="4" fontId="6" fillId="0" borderId="14" xfId="0" applyNumberFormat="1" applyFont="1" applyFill="1" applyBorder="1" applyAlignment="1">
      <alignment vertical="center"/>
    </xf>
    <xf numFmtId="0" fontId="6" fillId="0" borderId="0" xfId="54" applyFont="1"/>
    <xf numFmtId="0" fontId="6" fillId="0" borderId="0" xfId="54" applyFont="1" applyAlignment="1"/>
    <xf numFmtId="0" fontId="8" fillId="0" borderId="0" xfId="54" applyNumberFormat="1" applyFont="1" applyAlignment="1"/>
    <xf numFmtId="4" fontId="6" fillId="0" borderId="0" xfId="54" applyNumberFormat="1" applyFont="1"/>
    <xf numFmtId="0" fontId="6" fillId="0" borderId="0" xfId="54" applyFont="1" applyAlignment="1">
      <alignment horizontal="center"/>
    </xf>
    <xf numFmtId="0" fontId="6" fillId="0" borderId="0" xfId="54" applyNumberFormat="1" applyFont="1" applyAlignment="1">
      <alignment horizontal="center"/>
    </xf>
    <xf numFmtId="0" fontId="6" fillId="0" borderId="0" xfId="54" applyNumberFormat="1" applyFont="1"/>
    <xf numFmtId="0" fontId="11" fillId="0" borderId="0" xfId="54" applyFont="1" applyAlignment="1">
      <alignment horizontal="center"/>
    </xf>
    <xf numFmtId="0" fontId="8" fillId="0" borderId="0" xfId="54" applyFont="1" applyAlignment="1">
      <alignment horizontal="center"/>
    </xf>
    <xf numFmtId="0" fontId="8" fillId="0" borderId="0" xfId="54" applyFont="1" applyAlignment="1"/>
    <xf numFmtId="0" fontId="8" fillId="0" borderId="50" xfId="54" applyFont="1" applyBorder="1" applyAlignment="1">
      <alignment vertical="center"/>
    </xf>
    <xf numFmtId="0" fontId="6" fillId="0" borderId="32" xfId="54" applyFont="1" applyBorder="1" applyAlignment="1">
      <alignment vertical="center"/>
    </xf>
    <xf numFmtId="0" fontId="6" fillId="0" borderId="73" xfId="54" applyFont="1" applyBorder="1" applyAlignment="1">
      <alignment vertical="center"/>
    </xf>
    <xf numFmtId="0" fontId="8" fillId="0" borderId="50" xfId="54" applyFont="1" applyFill="1" applyBorder="1" applyAlignment="1">
      <alignment horizontal="center"/>
    </xf>
    <xf numFmtId="0" fontId="8" fillId="0" borderId="10" xfId="54" applyFont="1" applyBorder="1" applyAlignment="1">
      <alignment horizontal="center" vertical="center"/>
    </xf>
    <xf numFmtId="0" fontId="8" fillId="0" borderId="73" xfId="54" applyFont="1" applyBorder="1" applyAlignment="1">
      <alignment horizontal="center" vertical="center"/>
    </xf>
    <xf numFmtId="0" fontId="11" fillId="0" borderId="50" xfId="54" applyFont="1" applyFill="1" applyBorder="1" applyAlignment="1"/>
    <xf numFmtId="0" fontId="11" fillId="0" borderId="32" xfId="54" applyFont="1" applyFill="1" applyBorder="1" applyAlignment="1"/>
    <xf numFmtId="0" fontId="11" fillId="0" borderId="73" xfId="54" applyFont="1" applyFill="1" applyBorder="1" applyAlignment="1"/>
    <xf numFmtId="4" fontId="8" fillId="0" borderId="50" xfId="54" applyNumberFormat="1" applyFont="1" applyFill="1" applyBorder="1" applyAlignment="1">
      <alignment horizontal="right"/>
    </xf>
    <xf numFmtId="4" fontId="8" fillId="0" borderId="10" xfId="54" applyNumberFormat="1" applyFont="1" applyFill="1" applyBorder="1" applyAlignment="1">
      <alignment horizontal="right"/>
    </xf>
    <xf numFmtId="4" fontId="8" fillId="0" borderId="73" xfId="54" applyNumberFormat="1" applyFont="1" applyBorder="1" applyAlignment="1">
      <alignment horizontal="right"/>
    </xf>
    <xf numFmtId="0" fontId="6" fillId="0" borderId="51" xfId="54" applyFont="1" applyFill="1" applyBorder="1"/>
    <xf numFmtId="0" fontId="11" fillId="0" borderId="59" xfId="54" applyFont="1" applyFill="1" applyBorder="1" applyAlignment="1"/>
    <xf numFmtId="0" fontId="11" fillId="0" borderId="78" xfId="54" applyFont="1" applyFill="1" applyBorder="1" applyAlignment="1"/>
    <xf numFmtId="0" fontId="11" fillId="0" borderId="79" xfId="54" applyFont="1" applyFill="1" applyBorder="1" applyAlignment="1"/>
    <xf numFmtId="4" fontId="8" fillId="0" borderId="51" xfId="54" applyNumberFormat="1" applyFont="1" applyFill="1" applyBorder="1" applyAlignment="1">
      <alignment horizontal="right"/>
    </xf>
    <xf numFmtId="4" fontId="8" fillId="0" borderId="33" xfId="54" applyNumberFormat="1" applyFont="1" applyFill="1" applyBorder="1" applyAlignment="1">
      <alignment horizontal="right"/>
    </xf>
    <xf numFmtId="4" fontId="8" fillId="0" borderId="79" xfId="54" applyNumberFormat="1" applyFont="1" applyFill="1" applyBorder="1" applyAlignment="1">
      <alignment horizontal="right"/>
    </xf>
    <xf numFmtId="0" fontId="6" fillId="0" borderId="60" xfId="54" applyFont="1" applyFill="1" applyBorder="1"/>
    <xf numFmtId="0" fontId="6" fillId="0" borderId="15" xfId="54" applyFont="1" applyFill="1" applyBorder="1" applyAlignment="1">
      <alignment horizontal="center"/>
    </xf>
    <xf numFmtId="0" fontId="6" fillId="0" borderId="16" xfId="54" applyFont="1" applyFill="1" applyBorder="1" applyAlignment="1"/>
    <xf numFmtId="0" fontId="6" fillId="0" borderId="75" xfId="54" applyFont="1" applyFill="1" applyBorder="1" applyAlignment="1"/>
    <xf numFmtId="4" fontId="6" fillId="0" borderId="44" xfId="54" applyNumberFormat="1" applyFont="1" applyFill="1" applyBorder="1"/>
    <xf numFmtId="4" fontId="6" fillId="0" borderId="14" xfId="54" applyNumberFormat="1" applyFont="1" applyFill="1" applyBorder="1"/>
    <xf numFmtId="4" fontId="6" fillId="0" borderId="80" xfId="54" applyNumberFormat="1" applyFont="1" applyFill="1" applyBorder="1" applyAlignment="1">
      <alignment horizontal="right"/>
    </xf>
    <xf numFmtId="0" fontId="6" fillId="0" borderId="52" xfId="54" applyFont="1" applyFill="1" applyBorder="1"/>
    <xf numFmtId="0" fontId="6" fillId="0" borderId="14" xfId="54" applyFont="1" applyFill="1" applyBorder="1"/>
    <xf numFmtId="4" fontId="6" fillId="0" borderId="46" xfId="54" applyNumberFormat="1" applyFont="1" applyFill="1" applyBorder="1"/>
    <xf numFmtId="4" fontId="6" fillId="0" borderId="75" xfId="54" applyNumberFormat="1" applyFont="1" applyFill="1" applyBorder="1" applyAlignment="1">
      <alignment horizontal="right"/>
    </xf>
    <xf numFmtId="4" fontId="6" fillId="0" borderId="81" xfId="54" applyNumberFormat="1" applyFont="1" applyFill="1" applyBorder="1" applyAlignment="1">
      <alignment horizontal="right"/>
    </xf>
    <xf numFmtId="0" fontId="9" fillId="0" borderId="0" xfId="54" applyFont="1"/>
    <xf numFmtId="0" fontId="11" fillId="0" borderId="16" xfId="54" applyFont="1" applyFill="1" applyBorder="1" applyAlignment="1"/>
    <xf numFmtId="0" fontId="11" fillId="0" borderId="47" xfId="54" applyFont="1" applyFill="1" applyBorder="1" applyAlignment="1"/>
    <xf numFmtId="0" fontId="11" fillId="0" borderId="75" xfId="54" applyFont="1" applyFill="1" applyBorder="1" applyAlignment="1"/>
    <xf numFmtId="4" fontId="8" fillId="0" borderId="46" xfId="54" applyNumberFormat="1" applyFont="1" applyFill="1" applyBorder="1" applyAlignment="1">
      <alignment horizontal="right"/>
    </xf>
    <xf numFmtId="4" fontId="8" fillId="0" borderId="14" xfId="54" applyNumberFormat="1" applyFont="1" applyFill="1" applyBorder="1" applyAlignment="1">
      <alignment horizontal="right"/>
    </xf>
    <xf numFmtId="4" fontId="8" fillId="0" borderId="75" xfId="54" applyNumberFormat="1" applyFont="1" applyFill="1" applyBorder="1"/>
    <xf numFmtId="0" fontId="6" fillId="0" borderId="14" xfId="54" applyFont="1" applyFill="1" applyBorder="1" applyAlignment="1">
      <alignment horizontal="left"/>
    </xf>
    <xf numFmtId="4" fontId="6" fillId="0" borderId="46" xfId="54" applyNumberFormat="1" applyFont="1" applyFill="1" applyBorder="1" applyAlignment="1">
      <alignment horizontal="right"/>
    </xf>
    <xf numFmtId="4" fontId="6" fillId="0" borderId="14" xfId="54" applyNumberFormat="1" applyFont="1" applyFill="1" applyBorder="1" applyAlignment="1">
      <alignment horizontal="right"/>
    </xf>
    <xf numFmtId="4" fontId="6" fillId="0" borderId="75" xfId="54" applyNumberFormat="1" applyFont="1" applyFill="1" applyBorder="1"/>
    <xf numFmtId="4" fontId="8" fillId="0" borderId="46" xfId="54" applyNumberFormat="1" applyFont="1" applyFill="1" applyBorder="1"/>
    <xf numFmtId="4" fontId="8" fillId="0" borderId="14" xfId="54" applyNumberFormat="1" applyFont="1" applyFill="1" applyBorder="1"/>
    <xf numFmtId="0" fontId="6" fillId="0" borderId="14" xfId="54" applyFont="1" applyFill="1" applyBorder="1" applyAlignment="1">
      <alignment horizontal="center"/>
    </xf>
    <xf numFmtId="0" fontId="6" fillId="0" borderId="76" xfId="54" applyFont="1" applyFill="1" applyBorder="1" applyAlignment="1"/>
    <xf numFmtId="0" fontId="6" fillId="0" borderId="77" xfId="54" applyFont="1" applyFill="1" applyBorder="1" applyAlignment="1"/>
    <xf numFmtId="4" fontId="8" fillId="0" borderId="50" xfId="54" applyNumberFormat="1" applyFont="1" applyFill="1" applyBorder="1"/>
    <xf numFmtId="4" fontId="8" fillId="0" borderId="10" xfId="54" applyNumberFormat="1" applyFont="1" applyFill="1" applyBorder="1"/>
    <xf numFmtId="4" fontId="8" fillId="0" borderId="73" xfId="54" applyNumberFormat="1" applyFont="1" applyFill="1" applyBorder="1" applyAlignment="1">
      <alignment horizontal="right"/>
    </xf>
    <xf numFmtId="4" fontId="8" fillId="0" borderId="57" xfId="54" applyNumberFormat="1" applyFont="1" applyFill="1" applyBorder="1" applyAlignment="1">
      <alignment horizontal="right"/>
    </xf>
    <xf numFmtId="0" fontId="9" fillId="0" borderId="60" xfId="54" applyFont="1" applyFill="1" applyBorder="1"/>
    <xf numFmtId="4" fontId="6" fillId="0" borderId="36" xfId="54" applyNumberFormat="1" applyFont="1" applyFill="1" applyBorder="1"/>
    <xf numFmtId="4" fontId="8" fillId="0" borderId="74" xfId="54" applyNumberFormat="1" applyFont="1" applyFill="1" applyBorder="1" applyAlignment="1">
      <alignment horizontal="right"/>
    </xf>
    <xf numFmtId="0" fontId="6" fillId="0" borderId="52" xfId="54" applyFont="1" applyFill="1" applyBorder="1" applyAlignment="1">
      <alignment vertical="center"/>
    </xf>
    <xf numFmtId="4" fontId="8" fillId="0" borderId="46" xfId="54" applyNumberFormat="1" applyFont="1" applyFill="1" applyBorder="1" applyAlignment="1">
      <alignment horizontal="right" vertical="center"/>
    </xf>
    <xf numFmtId="4" fontId="8" fillId="0" borderId="14" xfId="54" applyNumberFormat="1" applyFont="1" applyFill="1" applyBorder="1" applyAlignment="1">
      <alignment vertical="center"/>
    </xf>
    <xf numFmtId="4" fontId="8" fillId="0" borderId="75" xfId="54" applyNumberFormat="1" applyFont="1" applyFill="1" applyBorder="1" applyAlignment="1">
      <alignment horizontal="right" vertical="center"/>
    </xf>
    <xf numFmtId="0" fontId="9" fillId="0" borderId="52" xfId="54" applyFont="1" applyFill="1" applyBorder="1"/>
    <xf numFmtId="0" fontId="6" fillId="0" borderId="16" xfId="54" applyFont="1" applyFill="1" applyBorder="1" applyAlignment="1">
      <alignment horizontal="center"/>
    </xf>
    <xf numFmtId="0" fontId="9" fillId="0" borderId="82" xfId="54" applyFont="1" applyFill="1" applyBorder="1"/>
    <xf numFmtId="0" fontId="6" fillId="0" borderId="82" xfId="54" applyFont="1" applyFill="1" applyBorder="1"/>
    <xf numFmtId="0" fontId="6" fillId="0" borderId="66" xfId="54" applyFont="1" applyFill="1" applyBorder="1" applyAlignment="1">
      <alignment horizontal="center"/>
    </xf>
    <xf numFmtId="0" fontId="9" fillId="0" borderId="54" xfId="54" applyFont="1" applyFill="1" applyBorder="1"/>
    <xf numFmtId="0" fontId="9" fillId="0" borderId="14" xfId="54" applyFont="1" applyFill="1" applyBorder="1"/>
    <xf numFmtId="0" fontId="6" fillId="0" borderId="36" xfId="54" applyFont="1" applyFill="1" applyBorder="1" applyAlignment="1">
      <alignment horizontal="center"/>
    </xf>
    <xf numFmtId="49" fontId="6" fillId="0" borderId="16" xfId="54" applyNumberFormat="1" applyFont="1" applyFill="1" applyBorder="1" applyAlignment="1">
      <alignment horizontal="center"/>
    </xf>
    <xf numFmtId="4" fontId="8" fillId="0" borderId="15" xfId="54" applyNumberFormat="1" applyFont="1" applyFill="1" applyBorder="1" applyAlignment="1">
      <alignment horizontal="right"/>
    </xf>
    <xf numFmtId="0" fontId="6" fillId="0" borderId="83" xfId="54" applyFont="1" applyFill="1" applyBorder="1"/>
    <xf numFmtId="4" fontId="6" fillId="0" borderId="48" xfId="54" applyNumberFormat="1" applyFont="1" applyFill="1" applyBorder="1" applyAlignment="1">
      <alignment horizontal="right"/>
    </xf>
    <xf numFmtId="4" fontId="6" fillId="0" borderId="17" xfId="54" applyNumberFormat="1" applyFont="1" applyFill="1" applyBorder="1"/>
    <xf numFmtId="4" fontId="6" fillId="0" borderId="77" xfId="54" applyNumberFormat="1" applyFont="1" applyFill="1" applyBorder="1" applyAlignment="1">
      <alignment horizontal="right"/>
    </xf>
    <xf numFmtId="0" fontId="8" fillId="0" borderId="50" xfId="54" applyFont="1" applyFill="1" applyBorder="1" applyAlignment="1">
      <alignment horizontal="center" vertical="center"/>
    </xf>
    <xf numFmtId="0" fontId="6" fillId="0" borderId="60" xfId="54" applyFont="1" applyFill="1" applyBorder="1" applyAlignment="1">
      <alignment vertical="center"/>
    </xf>
    <xf numFmtId="4" fontId="8" fillId="0" borderId="15" xfId="54" applyNumberFormat="1" applyFont="1" applyFill="1" applyBorder="1" applyAlignment="1">
      <alignment vertical="center"/>
    </xf>
    <xf numFmtId="4" fontId="8" fillId="0" borderId="74" xfId="54" applyNumberFormat="1" applyFont="1" applyFill="1" applyBorder="1" applyAlignment="1">
      <alignment horizontal="right" vertical="center"/>
    </xf>
    <xf numFmtId="4" fontId="8" fillId="0" borderId="11" xfId="54" applyNumberFormat="1" applyFont="1" applyFill="1" applyBorder="1" applyAlignment="1">
      <alignment horizontal="right"/>
    </xf>
    <xf numFmtId="0" fontId="6" fillId="0" borderId="44" xfId="54" applyFont="1" applyFill="1" applyBorder="1"/>
    <xf numFmtId="0" fontId="11" fillId="0" borderId="78" xfId="54" applyFont="1" applyFill="1" applyBorder="1" applyAlignment="1">
      <alignment wrapText="1"/>
    </xf>
    <xf numFmtId="0" fontId="11" fillId="0" borderId="79" xfId="54" applyFont="1" applyFill="1" applyBorder="1" applyAlignment="1">
      <alignment wrapText="1"/>
    </xf>
    <xf numFmtId="0" fontId="6" fillId="0" borderId="54" xfId="54" applyFont="1" applyFill="1" applyBorder="1"/>
    <xf numFmtId="0" fontId="6" fillId="0" borderId="31" xfId="54" applyFont="1" applyFill="1" applyBorder="1"/>
    <xf numFmtId="4" fontId="8" fillId="0" borderId="39" xfId="54" applyNumberFormat="1" applyFont="1" applyFill="1" applyBorder="1" applyAlignment="1">
      <alignment horizontal="right"/>
    </xf>
    <xf numFmtId="0" fontId="9" fillId="0" borderId="0" xfId="54" applyFont="1" applyAlignment="1">
      <alignment horizontal="left" vertical="top" wrapText="1"/>
    </xf>
    <xf numFmtId="4" fontId="83" fillId="0" borderId="0" xfId="0" applyNumberFormat="1" applyFont="1" applyAlignment="1">
      <alignment horizontal="right" vertical="center"/>
    </xf>
    <xf numFmtId="4" fontId="12" fillId="0" borderId="46" xfId="40" applyNumberFormat="1" applyFont="1" applyBorder="1" applyAlignment="1">
      <alignment horizontal="right"/>
    </xf>
    <xf numFmtId="4" fontId="12" fillId="0" borderId="58" xfId="40" applyNumberFormat="1" applyFont="1" applyBorder="1"/>
    <xf numFmtId="4" fontId="12" fillId="0" borderId="78" xfId="40" applyNumberFormat="1" applyFont="1" applyBorder="1"/>
    <xf numFmtId="4" fontId="12" fillId="0" borderId="67" xfId="40" applyNumberFormat="1" applyFont="1" applyBorder="1" applyAlignment="1">
      <alignment vertical="center"/>
    </xf>
    <xf numFmtId="4" fontId="12" fillId="0" borderId="84" xfId="40" applyNumberFormat="1" applyFont="1" applyBorder="1"/>
    <xf numFmtId="4" fontId="12" fillId="0" borderId="51" xfId="40" applyNumberFormat="1" applyFont="1" applyBorder="1"/>
    <xf numFmtId="4" fontId="12" fillId="0" borderId="46" xfId="40" applyNumberFormat="1" applyFont="1" applyBorder="1"/>
    <xf numFmtId="4" fontId="12" fillId="0" borderId="54" xfId="40" applyNumberFormat="1" applyFont="1" applyBorder="1" applyAlignment="1">
      <alignment horizontal="right"/>
    </xf>
    <xf numFmtId="0" fontId="9" fillId="0" borderId="0" xfId="40" applyAlignment="1">
      <alignment vertical="center" wrapText="1"/>
    </xf>
    <xf numFmtId="0" fontId="9" fillId="0" borderId="0" xfId="40" applyFill="1" applyAlignment="1">
      <alignment wrapText="1"/>
    </xf>
    <xf numFmtId="4" fontId="12" fillId="0" borderId="52" xfId="40" applyNumberFormat="1" applyFont="1" applyBorder="1"/>
    <xf numFmtId="4" fontId="12" fillId="0" borderId="82" xfId="40" applyNumberFormat="1" applyFont="1" applyBorder="1"/>
    <xf numFmtId="4" fontId="12" fillId="0" borderId="36" xfId="40" applyNumberFormat="1" applyFont="1" applyBorder="1"/>
    <xf numFmtId="4" fontId="12" fillId="0" borderId="16" xfId="40" applyNumberFormat="1" applyFont="1" applyBorder="1"/>
    <xf numFmtId="4" fontId="12" fillId="0" borderId="66" xfId="40" applyNumberFormat="1" applyFont="1" applyBorder="1"/>
    <xf numFmtId="0" fontId="9" fillId="0" borderId="23" xfId="40" applyBorder="1"/>
    <xf numFmtId="0" fontId="9" fillId="0" borderId="46" xfId="40" applyBorder="1"/>
    <xf numFmtId="0" fontId="9" fillId="0" borderId="0" xfId="40" applyAlignment="1">
      <alignment wrapText="1"/>
    </xf>
    <xf numFmtId="4" fontId="6" fillId="0" borderId="0" xfId="43" applyNumberFormat="1" applyFont="1" applyFill="1"/>
    <xf numFmtId="49" fontId="11" fillId="0" borderId="0" xfId="54" applyNumberFormat="1" applyFont="1" applyAlignment="1">
      <alignment horizontal="right"/>
    </xf>
    <xf numFmtId="0" fontId="11" fillId="0" borderId="0" xfId="0" applyFont="1" applyAlignment="1">
      <alignment vertical="center"/>
    </xf>
    <xf numFmtId="4" fontId="19" fillId="0" borderId="0" xfId="54" applyNumberFormat="1" applyFont="1" applyFill="1"/>
    <xf numFmtId="0" fontId="18" fillId="0" borderId="0" xfId="54" applyFill="1" applyBorder="1"/>
    <xf numFmtId="0" fontId="24" fillId="0" borderId="0" xfId="54" applyFont="1" applyFill="1" applyBorder="1"/>
    <xf numFmtId="4" fontId="18" fillId="0" borderId="0" xfId="54" applyNumberFormat="1" applyFill="1" applyBorder="1"/>
    <xf numFmtId="0" fontId="13" fillId="0" borderId="0" xfId="51" applyFont="1" applyFill="1" applyBorder="1" applyAlignment="1">
      <alignment horizontal="left"/>
    </xf>
    <xf numFmtId="4" fontId="19" fillId="0" borderId="0" xfId="51" applyNumberFormat="1" applyFont="1" applyFill="1" applyBorder="1"/>
    <xf numFmtId="0" fontId="6" fillId="0" borderId="0" xfId="51" applyFont="1" applyFill="1" applyBorder="1" applyAlignment="1">
      <alignment horizontal="left"/>
    </xf>
    <xf numFmtId="166" fontId="13" fillId="0" borderId="0" xfId="51" applyNumberFormat="1" applyFont="1" applyFill="1" applyBorder="1"/>
    <xf numFmtId="4" fontId="13" fillId="0" borderId="0" xfId="51" applyNumberFormat="1" applyFont="1" applyFill="1" applyBorder="1"/>
    <xf numFmtId="0" fontId="19" fillId="0" borderId="0" xfId="51" applyFont="1" applyFill="1" applyBorder="1" applyAlignment="1">
      <alignment horizontal="left"/>
    </xf>
    <xf numFmtId="0" fontId="88" fillId="0" borderId="0" xfId="40" applyFont="1"/>
    <xf numFmtId="0" fontId="88" fillId="0" borderId="0" xfId="40" applyFont="1" applyAlignment="1">
      <alignment vertical="center"/>
    </xf>
    <xf numFmtId="2" fontId="12" fillId="17" borderId="62" xfId="53" applyNumberFormat="1" applyFont="1" applyFill="1" applyBorder="1" applyAlignment="1">
      <alignment vertical="center" wrapText="1"/>
    </xf>
    <xf numFmtId="2" fontId="12" fillId="0" borderId="31" xfId="53" applyNumberFormat="1" applyFont="1" applyBorder="1" applyAlignment="1">
      <alignment vertical="center" wrapText="1"/>
    </xf>
    <xf numFmtId="2" fontId="12" fillId="17" borderId="16" xfId="49" applyNumberFormat="1" applyFont="1" applyFill="1" applyBorder="1" applyAlignment="1">
      <alignment vertical="center" wrapText="1"/>
    </xf>
    <xf numFmtId="170" fontId="12" fillId="0" borderId="39" xfId="53" applyNumberFormat="1" applyFont="1" applyBorder="1" applyAlignment="1">
      <alignment horizontal="right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4" fontId="11" fillId="0" borderId="10" xfId="0" applyNumberFormat="1" applyFont="1" applyFill="1" applyBorder="1" applyAlignment="1">
      <alignment vertical="center"/>
    </xf>
    <xf numFmtId="0" fontId="6" fillId="0" borderId="60" xfId="54" applyFont="1" applyFill="1" applyBorder="1" applyAlignment="1">
      <alignment horizontal="center" vertical="center"/>
    </xf>
    <xf numFmtId="0" fontId="6" fillId="0" borderId="82" xfId="54" applyFont="1" applyFill="1" applyBorder="1" applyAlignment="1">
      <alignment horizontal="center" vertical="center"/>
    </xf>
    <xf numFmtId="0" fontId="11" fillId="0" borderId="12" xfId="54" applyFont="1" applyFill="1" applyBorder="1" applyAlignment="1">
      <alignment horizontal="center" vertical="center"/>
    </xf>
    <xf numFmtId="0" fontId="6" fillId="0" borderId="31" xfId="54" applyFont="1" applyFill="1" applyBorder="1" applyAlignment="1">
      <alignment horizontal="center" vertical="center"/>
    </xf>
    <xf numFmtId="0" fontId="6" fillId="0" borderId="52" xfId="54" applyFont="1" applyFill="1" applyBorder="1" applyAlignment="1">
      <alignment horizontal="center" vertical="center"/>
    </xf>
    <xf numFmtId="0" fontId="6" fillId="0" borderId="54" xfId="54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vertical="center"/>
    </xf>
    <xf numFmtId="0" fontId="6" fillId="0" borderId="40" xfId="54" applyFont="1" applyFill="1" applyBorder="1" applyAlignment="1">
      <alignment horizontal="center" vertical="center"/>
    </xf>
    <xf numFmtId="4" fontId="6" fillId="0" borderId="27" xfId="0" applyNumberFormat="1" applyFont="1" applyFill="1" applyBorder="1" applyAlignment="1">
      <alignment vertical="center"/>
    </xf>
    <xf numFmtId="0" fontId="6" fillId="0" borderId="44" xfId="54" applyFont="1" applyFill="1" applyBorder="1" applyAlignment="1">
      <alignment horizontal="center" vertical="center"/>
    </xf>
    <xf numFmtId="0" fontId="6" fillId="0" borderId="46" xfId="54" applyFont="1" applyFill="1" applyBorder="1" applyAlignment="1">
      <alignment horizontal="center" vertical="center"/>
    </xf>
    <xf numFmtId="0" fontId="11" fillId="0" borderId="50" xfId="54" applyFont="1" applyFill="1" applyBorder="1" applyAlignment="1">
      <alignment horizontal="center" vertical="center"/>
    </xf>
    <xf numFmtId="0" fontId="25" fillId="0" borderId="57" xfId="54" applyFont="1" applyBorder="1" applyAlignment="1">
      <alignment horizontal="center" vertical="center"/>
    </xf>
    <xf numFmtId="0" fontId="26" fillId="0" borderId="10" xfId="54" applyFont="1" applyFill="1" applyBorder="1" applyAlignment="1">
      <alignment horizontal="center" vertical="center"/>
    </xf>
    <xf numFmtId="0" fontId="26" fillId="0" borderId="28" xfId="54" applyFont="1" applyFill="1" applyBorder="1" applyAlignment="1">
      <alignment horizontal="center" vertical="center"/>
    </xf>
    <xf numFmtId="0" fontId="26" fillId="0" borderId="19" xfId="54" applyFont="1" applyFill="1" applyBorder="1" applyAlignment="1">
      <alignment horizontal="center" vertical="center"/>
    </xf>
    <xf numFmtId="4" fontId="85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83" fillId="0" borderId="35" xfId="0" applyNumberFormat="1" applyFont="1" applyFill="1" applyBorder="1" applyAlignment="1">
      <alignment vertical="center"/>
    </xf>
    <xf numFmtId="0" fontId="6" fillId="0" borderId="60" xfId="54" applyFont="1" applyBorder="1" applyAlignment="1">
      <alignment horizontal="center" vertical="center"/>
    </xf>
    <xf numFmtId="0" fontId="6" fillId="0" borderId="16" xfId="54" applyFont="1" applyFill="1" applyBorder="1" applyAlignment="1">
      <alignment vertical="center"/>
    </xf>
    <xf numFmtId="0" fontId="6" fillId="0" borderId="47" xfId="5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4" fontId="90" fillId="0" borderId="0" xfId="0" applyNumberFormat="1" applyFont="1" applyFill="1" applyBorder="1" applyAlignment="1">
      <alignment vertical="center"/>
    </xf>
    <xf numFmtId="0" fontId="89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vertical="center"/>
    </xf>
    <xf numFmtId="4" fontId="89" fillId="0" borderId="0" xfId="0" applyNumberFormat="1" applyFont="1" applyFill="1" applyBorder="1" applyAlignment="1">
      <alignment vertical="center"/>
    </xf>
    <xf numFmtId="0" fontId="6" fillId="0" borderId="52" xfId="54" applyFont="1" applyBorder="1" applyAlignment="1">
      <alignment horizontal="center" vertical="center"/>
    </xf>
    <xf numFmtId="0" fontId="6" fillId="0" borderId="36" xfId="54" applyFont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19" fillId="0" borderId="0" xfId="54" applyFont="1" applyAlignment="1">
      <alignment horizontal="right" indent="1"/>
    </xf>
    <xf numFmtId="4" fontId="11" fillId="0" borderId="11" xfId="54" applyNumberFormat="1" applyFont="1" applyFill="1" applyBorder="1" applyAlignment="1">
      <alignment horizontal="right" vertical="center" indent="1"/>
    </xf>
    <xf numFmtId="4" fontId="6" fillId="0" borderId="38" xfId="54" applyNumberFormat="1" applyFont="1" applyFill="1" applyBorder="1" applyAlignment="1">
      <alignment horizontal="right" vertical="center" indent="1"/>
    </xf>
    <xf numFmtId="4" fontId="6" fillId="0" borderId="37" xfId="54" applyNumberFormat="1" applyFont="1" applyFill="1" applyBorder="1" applyAlignment="1">
      <alignment horizontal="right" vertical="center" indent="1"/>
    </xf>
    <xf numFmtId="4" fontId="6" fillId="0" borderId="42" xfId="54" applyNumberFormat="1" applyFont="1" applyFill="1" applyBorder="1" applyAlignment="1">
      <alignment horizontal="right" vertical="center" indent="1"/>
    </xf>
    <xf numFmtId="4" fontId="6" fillId="0" borderId="39" xfId="54" applyNumberFormat="1" applyFont="1" applyFill="1" applyBorder="1" applyAlignment="1">
      <alignment horizontal="right" vertical="center" indent="1"/>
    </xf>
    <xf numFmtId="4" fontId="6" fillId="0" borderId="41" xfId="54" applyNumberFormat="1" applyFont="1" applyFill="1" applyBorder="1" applyAlignment="1">
      <alignment horizontal="right" vertical="center" indent="1"/>
    </xf>
    <xf numFmtId="4" fontId="19" fillId="0" borderId="0" xfId="54" applyNumberFormat="1" applyFont="1" applyFill="1" applyBorder="1" applyAlignment="1">
      <alignment horizontal="right" vertical="center" indent="1"/>
    </xf>
    <xf numFmtId="4" fontId="6" fillId="0" borderId="43" xfId="54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0" fillId="0" borderId="0" xfId="0" applyAlignment="1">
      <alignment horizontal="right" indent="1"/>
    </xf>
    <xf numFmtId="0" fontId="25" fillId="0" borderId="0" xfId="54" applyFont="1" applyAlignment="1">
      <alignment horizontal="right" vertical="center"/>
    </xf>
    <xf numFmtId="4" fontId="48" fillId="0" borderId="0" xfId="50" applyNumberFormat="1" applyFont="1"/>
    <xf numFmtId="4" fontId="7" fillId="0" borderId="14" xfId="50" applyNumberFormat="1" applyFont="1" applyBorder="1" applyAlignment="1">
      <alignment horizontal="center" vertical="center" wrapText="1"/>
    </xf>
    <xf numFmtId="0" fontId="12" fillId="0" borderId="0" xfId="50" applyFont="1"/>
    <xf numFmtId="4" fontId="12" fillId="0" borderId="0" xfId="50" applyNumberFormat="1" applyFont="1"/>
    <xf numFmtId="4" fontId="12" fillId="0" borderId="14" xfId="50" applyNumberFormat="1" applyFont="1" applyBorder="1" applyAlignment="1">
      <alignment horizontal="right" vertical="center"/>
    </xf>
    <xf numFmtId="0" fontId="11" fillId="52" borderId="14" xfId="50" applyFont="1" applyFill="1" applyBorder="1" applyAlignment="1">
      <alignment horizontal="left" vertical="center" wrapText="1"/>
    </xf>
    <xf numFmtId="4" fontId="11" fillId="52" borderId="14" xfId="50" applyNumberFormat="1" applyFont="1" applyFill="1" applyBorder="1" applyAlignment="1">
      <alignment vertical="center" wrapText="1"/>
    </xf>
    <xf numFmtId="0" fontId="13" fillId="0" borderId="35" xfId="54" applyFont="1" applyFill="1" applyBorder="1" applyAlignment="1">
      <alignment horizontal="left"/>
    </xf>
    <xf numFmtId="0" fontId="13" fillId="0" borderId="35" xfId="54" applyFont="1" applyFill="1" applyBorder="1" applyAlignment="1">
      <alignment horizontal="center"/>
    </xf>
    <xf numFmtId="49" fontId="24" fillId="0" borderId="0" xfId="54" applyNumberFormat="1" applyFont="1" applyAlignment="1">
      <alignment horizontal="right" vertical="center"/>
    </xf>
    <xf numFmtId="0" fontId="20" fillId="0" borderId="0" xfId="54" applyFont="1" applyFill="1" applyAlignment="1">
      <alignment horizontal="center" vertical="center"/>
    </xf>
    <xf numFmtId="0" fontId="25" fillId="0" borderId="0" xfId="54" applyFont="1" applyFill="1" applyAlignment="1">
      <alignment horizontal="center" vertical="center"/>
    </xf>
    <xf numFmtId="0" fontId="26" fillId="0" borderId="11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center" vertical="center"/>
    </xf>
    <xf numFmtId="0" fontId="19" fillId="0" borderId="35" xfId="54" applyFont="1" applyFill="1" applyBorder="1" applyAlignment="1">
      <alignment horizontal="center" vertical="center"/>
    </xf>
    <xf numFmtId="0" fontId="19" fillId="0" borderId="45" xfId="54" applyFont="1" applyFill="1" applyBorder="1" applyAlignment="1">
      <alignment horizontal="left" vertical="center"/>
    </xf>
    <xf numFmtId="0" fontId="19" fillId="0" borderId="59" xfId="54" applyFont="1" applyFill="1" applyBorder="1" applyAlignment="1">
      <alignment horizontal="center" vertical="center"/>
    </xf>
    <xf numFmtId="0" fontId="19" fillId="0" borderId="35" xfId="54" applyFont="1" applyFill="1" applyBorder="1" applyAlignment="1">
      <alignment horizontal="left" vertical="center"/>
    </xf>
    <xf numFmtId="0" fontId="13" fillId="0" borderId="69" xfId="54" applyFont="1" applyFill="1" applyBorder="1" applyAlignment="1">
      <alignment horizontal="left" vertical="center"/>
    </xf>
    <xf numFmtId="0" fontId="13" fillId="0" borderId="63" xfId="54" applyFont="1" applyFill="1" applyBorder="1" applyAlignment="1">
      <alignment horizontal="left" vertical="center"/>
    </xf>
    <xf numFmtId="0" fontId="13" fillId="0" borderId="35" xfId="54" applyFont="1" applyFill="1" applyBorder="1" applyAlignment="1">
      <alignment horizontal="center" vertical="center"/>
    </xf>
    <xf numFmtId="0" fontId="13" fillId="0" borderId="35" xfId="54" applyFont="1" applyFill="1" applyBorder="1" applyAlignment="1">
      <alignment horizontal="left" vertical="center"/>
    </xf>
    <xf numFmtId="0" fontId="6" fillId="0" borderId="26" xfId="54" applyFont="1" applyFill="1" applyBorder="1" applyAlignment="1">
      <alignment vertical="center"/>
    </xf>
    <xf numFmtId="0" fontId="6" fillId="0" borderId="27" xfId="54" applyFont="1" applyFill="1" applyBorder="1" applyAlignment="1">
      <alignment horizontal="center" vertical="center"/>
    </xf>
    <xf numFmtId="0" fontId="18" fillId="0" borderId="35" xfId="54" applyFill="1" applyBorder="1"/>
    <xf numFmtId="0" fontId="0" fillId="0" borderId="35" xfId="0" applyBorder="1" applyAlignment="1">
      <alignment vertical="center"/>
    </xf>
    <xf numFmtId="0" fontId="6" fillId="0" borderId="85" xfId="54" applyFont="1" applyBorder="1" applyAlignment="1">
      <alignment horizontal="left" vertical="center"/>
    </xf>
    <xf numFmtId="4" fontId="85" fillId="0" borderId="11" xfId="0" applyNumberFormat="1" applyFont="1" applyFill="1" applyBorder="1" applyAlignment="1">
      <alignment horizontal="right" vertical="center" indent="1"/>
    </xf>
    <xf numFmtId="4" fontId="11" fillId="52" borderId="11" xfId="54" applyNumberFormat="1" applyFont="1" applyFill="1" applyBorder="1" applyAlignment="1">
      <alignment horizontal="right" vertical="center" indent="1"/>
    </xf>
    <xf numFmtId="4" fontId="11" fillId="0" borderId="11" xfId="0" applyNumberFormat="1" applyFont="1" applyFill="1" applyBorder="1" applyAlignment="1">
      <alignment horizontal="right" vertical="center" indent="1"/>
    </xf>
    <xf numFmtId="4" fontId="6" fillId="0" borderId="38" xfId="0" applyNumberFormat="1" applyFont="1" applyFill="1" applyBorder="1" applyAlignment="1">
      <alignment horizontal="right" vertical="center" indent="1"/>
    </xf>
    <xf numFmtId="4" fontId="6" fillId="0" borderId="37" xfId="0" applyNumberFormat="1" applyFont="1" applyFill="1" applyBorder="1" applyAlignment="1">
      <alignment horizontal="right" vertical="center" indent="1"/>
    </xf>
    <xf numFmtId="4" fontId="6" fillId="0" borderId="39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Fill="1" applyBorder="1" applyAlignment="1">
      <alignment horizontal="right" vertical="center" indent="1"/>
    </xf>
    <xf numFmtId="4" fontId="83" fillId="0" borderId="38" xfId="0" applyNumberFormat="1" applyFont="1" applyBorder="1" applyAlignment="1">
      <alignment horizontal="right" vertical="center" indent="1"/>
    </xf>
    <xf numFmtId="0" fontId="6" fillId="0" borderId="54" xfId="54" applyFont="1" applyBorder="1" applyAlignment="1">
      <alignment horizontal="center" vertical="center"/>
    </xf>
    <xf numFmtId="4" fontId="83" fillId="0" borderId="39" xfId="0" applyNumberFormat="1" applyFont="1" applyBorder="1" applyAlignment="1">
      <alignment horizontal="right" vertical="center" indent="1"/>
    </xf>
    <xf numFmtId="4" fontId="83" fillId="0" borderId="37" xfId="0" applyNumberFormat="1" applyFont="1" applyBorder="1" applyAlignment="1">
      <alignment horizontal="right" vertical="center" indent="1"/>
    </xf>
    <xf numFmtId="4" fontId="83" fillId="0" borderId="42" xfId="0" applyNumberFormat="1" applyFont="1" applyBorder="1" applyAlignment="1">
      <alignment horizontal="right" vertical="center" indent="1"/>
    </xf>
    <xf numFmtId="4" fontId="83" fillId="0" borderId="42" xfId="0" applyNumberFormat="1" applyFont="1" applyFill="1" applyBorder="1" applyAlignment="1">
      <alignment horizontal="right" vertical="center" indent="1"/>
    </xf>
    <xf numFmtId="4" fontId="85" fillId="0" borderId="19" xfId="0" applyNumberFormat="1" applyFont="1" applyFill="1" applyBorder="1" applyAlignment="1">
      <alignment horizontal="right" vertical="center" indent="1"/>
    </xf>
    <xf numFmtId="4" fontId="83" fillId="0" borderId="19" xfId="0" applyNumberFormat="1" applyFont="1" applyFill="1" applyBorder="1" applyAlignment="1">
      <alignment horizontal="right" vertical="center" indent="1"/>
    </xf>
    <xf numFmtId="0" fontId="13" fillId="0" borderId="69" xfId="54" applyFont="1" applyFill="1" applyBorder="1" applyAlignment="1">
      <alignment horizontal="center" vertical="center"/>
    </xf>
    <xf numFmtId="170" fontId="7" fillId="0" borderId="11" xfId="53" applyNumberFormat="1" applyFont="1" applyBorder="1" applyAlignment="1">
      <alignment horizontal="right" vertical="center"/>
    </xf>
    <xf numFmtId="4" fontId="9" fillId="0" borderId="0" xfId="54" applyNumberFormat="1" applyFont="1"/>
    <xf numFmtId="49" fontId="6" fillId="0" borderId="13" xfId="43" applyNumberFormat="1" applyFont="1" applyFill="1" applyBorder="1" applyAlignment="1">
      <alignment horizontal="center"/>
    </xf>
    <xf numFmtId="4" fontId="7" fillId="52" borderId="50" xfId="0" applyNumberFormat="1" applyFont="1" applyFill="1" applyBorder="1"/>
    <xf numFmtId="4" fontId="7" fillId="52" borderId="10" xfId="0" applyNumberFormat="1" applyFont="1" applyFill="1" applyBorder="1"/>
    <xf numFmtId="4" fontId="7" fillId="53" borderId="10" xfId="0" applyNumberFormat="1" applyFont="1" applyFill="1" applyBorder="1"/>
    <xf numFmtId="2" fontId="12" fillId="17" borderId="66" xfId="49" applyNumberFormat="1" applyFont="1" applyFill="1" applyBorder="1" applyAlignment="1">
      <alignment vertical="center" wrapText="1"/>
    </xf>
    <xf numFmtId="0" fontId="88" fillId="0" borderId="0" xfId="40" applyFont="1" applyAlignment="1">
      <alignment horizontal="left" vertical="center"/>
    </xf>
    <xf numFmtId="0" fontId="13" fillId="0" borderId="0" xfId="51" applyFont="1" applyBorder="1" applyAlignment="1">
      <alignment horizontal="left" vertical="center"/>
    </xf>
    <xf numFmtId="4" fontId="19" fillId="0" borderId="0" xfId="54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168" fontId="0" fillId="0" borderId="0" xfId="0" applyNumberFormat="1" applyBorder="1" applyAlignment="1">
      <alignment vertical="center"/>
    </xf>
    <xf numFmtId="4" fontId="83" fillId="0" borderId="38" xfId="0" applyNumberFormat="1" applyFont="1" applyFill="1" applyBorder="1" applyAlignment="1">
      <alignment horizontal="right" vertical="center" indent="1"/>
    </xf>
    <xf numFmtId="0" fontId="13" fillId="0" borderId="27" xfId="52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86" xfId="0" applyFont="1" applyFill="1" applyBorder="1" applyAlignment="1">
      <alignment horizontal="left" vertical="center"/>
    </xf>
    <xf numFmtId="0" fontId="6" fillId="0" borderId="71" xfId="0" applyFont="1" applyFill="1" applyBorder="1" applyAlignment="1">
      <alignment horizontal="left" vertical="center"/>
    </xf>
    <xf numFmtId="0" fontId="13" fillId="0" borderId="27" xfId="52" applyFont="1" applyBorder="1" applyAlignment="1">
      <alignment horizontal="center" vertical="center"/>
    </xf>
    <xf numFmtId="0" fontId="84" fillId="0" borderId="0" xfId="41" applyFont="1" applyAlignment="1">
      <alignment vertical="center"/>
    </xf>
    <xf numFmtId="0" fontId="82" fillId="0" borderId="0" xfId="0" applyFont="1" applyAlignment="1">
      <alignment horizontal="left" vertical="center" wrapText="1"/>
    </xf>
    <xf numFmtId="0" fontId="14" fillId="0" borderId="0" xfId="43" applyFont="1" applyBorder="1" applyAlignment="1">
      <alignment horizontal="left" vertical="center"/>
    </xf>
    <xf numFmtId="4" fontId="84" fillId="0" borderId="0" xfId="0" applyNumberFormat="1" applyFont="1" applyAlignment="1">
      <alignment horizontal="right" vertical="center"/>
    </xf>
    <xf numFmtId="4" fontId="14" fillId="0" borderId="0" xfId="43" applyNumberFormat="1" applyFont="1" applyBorder="1" applyAlignment="1">
      <alignment horizontal="left" vertical="center" wrapText="1"/>
    </xf>
    <xf numFmtId="0" fontId="97" fillId="58" borderId="14" xfId="0" applyFont="1" applyFill="1" applyBorder="1" applyAlignment="1">
      <alignment horizontal="center" vertical="center"/>
    </xf>
    <xf numFmtId="0" fontId="97" fillId="58" borderId="14" xfId="0" applyFont="1" applyFill="1" applyBorder="1" applyAlignment="1">
      <alignment horizontal="center" vertical="center" wrapText="1"/>
    </xf>
    <xf numFmtId="4" fontId="98" fillId="59" borderId="14" xfId="0" applyNumberFormat="1" applyFont="1" applyFill="1" applyBorder="1" applyAlignment="1">
      <alignment horizontal="right" vertical="center"/>
    </xf>
    <xf numFmtId="0" fontId="98" fillId="59" borderId="14" xfId="0" applyFont="1" applyFill="1" applyBorder="1" applyAlignment="1">
      <alignment horizontal="left" vertical="center" wrapText="1"/>
    </xf>
    <xf numFmtId="4" fontId="83" fillId="0" borderId="14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4" fontId="83" fillId="0" borderId="14" xfId="0" applyNumberFormat="1" applyFont="1" applyBorder="1" applyAlignment="1">
      <alignment vertical="center"/>
    </xf>
    <xf numFmtId="4" fontId="83" fillId="0" borderId="14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97" fillId="58" borderId="14" xfId="0" applyNumberFormat="1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4" fontId="83" fillId="0" borderId="0" xfId="0" applyNumberFormat="1" applyFont="1" applyAlignment="1">
      <alignment horizontal="right"/>
    </xf>
    <xf numFmtId="4" fontId="11" fillId="0" borderId="41" xfId="54" applyNumberFormat="1" applyFont="1" applyFill="1" applyBorder="1" applyAlignment="1">
      <alignment horizontal="right" vertical="center" indent="1"/>
    </xf>
    <xf numFmtId="4" fontId="83" fillId="0" borderId="15" xfId="0" applyNumberFormat="1" applyFont="1" applyFill="1" applyBorder="1" applyAlignment="1">
      <alignment vertical="center"/>
    </xf>
    <xf numFmtId="0" fontId="6" fillId="0" borderId="58" xfId="54" applyFont="1" applyFill="1" applyBorder="1" applyAlignment="1">
      <alignment horizontal="center" vertical="center"/>
    </xf>
    <xf numFmtId="4" fontId="83" fillId="0" borderId="33" xfId="0" applyNumberFormat="1" applyFont="1" applyFill="1" applyBorder="1" applyAlignment="1">
      <alignment vertical="center"/>
    </xf>
    <xf numFmtId="4" fontId="6" fillId="0" borderId="34" xfId="54" applyNumberFormat="1" applyFont="1" applyFill="1" applyBorder="1" applyAlignment="1">
      <alignment horizontal="right" vertical="center" indent="1"/>
    </xf>
    <xf numFmtId="0" fontId="6" fillId="0" borderId="83" xfId="54" applyFont="1" applyFill="1" applyBorder="1" applyAlignment="1">
      <alignment horizontal="center" vertical="center"/>
    </xf>
    <xf numFmtId="4" fontId="83" fillId="0" borderId="17" xfId="0" applyNumberFormat="1" applyFont="1" applyFill="1" applyBorder="1" applyAlignment="1">
      <alignment vertical="center"/>
    </xf>
    <xf numFmtId="4" fontId="83" fillId="0" borderId="71" xfId="0" applyNumberFormat="1" applyFont="1" applyFill="1" applyBorder="1" applyAlignment="1">
      <alignment vertical="center"/>
    </xf>
    <xf numFmtId="4" fontId="83" fillId="0" borderId="27" xfId="0" applyNumberFormat="1" applyFont="1" applyFill="1" applyBorder="1" applyAlignment="1">
      <alignment vertical="center"/>
    </xf>
    <xf numFmtId="0" fontId="6" fillId="0" borderId="26" xfId="54" applyFont="1" applyFill="1" applyBorder="1" applyAlignment="1">
      <alignment horizontal="center" vertical="center"/>
    </xf>
    <xf numFmtId="4" fontId="83" fillId="0" borderId="36" xfId="0" applyNumberFormat="1" applyFont="1" applyFill="1" applyBorder="1" applyAlignment="1">
      <alignment vertical="center"/>
    </xf>
    <xf numFmtId="0" fontId="6" fillId="0" borderId="48" xfId="54" applyFont="1" applyFill="1" applyBorder="1" applyAlignment="1">
      <alignment horizontal="center" vertical="center"/>
    </xf>
    <xf numFmtId="4" fontId="85" fillId="0" borderId="27" xfId="0" applyNumberFormat="1" applyFont="1" applyFill="1" applyBorder="1" applyAlignment="1">
      <alignment vertical="center"/>
    </xf>
    <xf numFmtId="0" fontId="101" fillId="0" borderId="0" xfId="0" applyFont="1" applyFill="1" applyAlignment="1">
      <alignment horizontal="center" vertical="center"/>
    </xf>
    <xf numFmtId="0" fontId="11" fillId="0" borderId="26" xfId="54" applyFont="1" applyFill="1" applyBorder="1" applyAlignment="1">
      <alignment horizontal="center" vertical="center"/>
    </xf>
    <xf numFmtId="4" fontId="11" fillId="52" borderId="27" xfId="0" applyNumberFormat="1" applyFont="1" applyFill="1" applyBorder="1" applyAlignment="1">
      <alignment vertical="center"/>
    </xf>
    <xf numFmtId="4" fontId="11" fillId="52" borderId="41" xfId="54" applyNumberFormat="1" applyFont="1" applyFill="1" applyBorder="1" applyAlignment="1">
      <alignment horizontal="right" vertical="center" indent="1"/>
    </xf>
    <xf numFmtId="0" fontId="6" fillId="0" borderId="51" xfId="54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7" xfId="54" applyFont="1" applyFill="1" applyBorder="1"/>
    <xf numFmtId="0" fontId="6" fillId="0" borderId="58" xfId="43" applyFont="1" applyBorder="1" applyAlignment="1">
      <alignment horizontal="center"/>
    </xf>
    <xf numFmtId="49" fontId="6" fillId="0" borderId="33" xfId="43" applyNumberFormat="1" applyFont="1" applyFill="1" applyBorder="1" applyAlignment="1">
      <alignment horizontal="center"/>
    </xf>
    <xf numFmtId="0" fontId="6" fillId="0" borderId="59" xfId="43" applyFont="1" applyBorder="1"/>
    <xf numFmtId="0" fontId="6" fillId="0" borderId="70" xfId="43" applyFont="1" applyFill="1" applyBorder="1" applyAlignment="1">
      <alignment horizontal="center"/>
    </xf>
    <xf numFmtId="4" fontId="6" fillId="0" borderId="35" xfId="43" applyNumberFormat="1" applyFont="1" applyFill="1" applyBorder="1" applyAlignment="1">
      <alignment horizontal="right"/>
    </xf>
    <xf numFmtId="4" fontId="6" fillId="0" borderId="35" xfId="43" applyNumberFormat="1" applyFont="1" applyBorder="1" applyAlignment="1">
      <alignment horizontal="right"/>
    </xf>
    <xf numFmtId="0" fontId="51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/>
    <xf numFmtId="49" fontId="12" fillId="0" borderId="40" xfId="53" applyNumberFormat="1" applyFont="1" applyBorder="1" applyAlignment="1">
      <alignment horizontal="right" vertical="center"/>
    </xf>
    <xf numFmtId="49" fontId="12" fillId="0" borderId="54" xfId="53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4" fontId="19" fillId="0" borderId="23" xfId="51" applyNumberFormat="1" applyFont="1" applyFill="1" applyBorder="1" applyAlignment="1">
      <alignment vertical="center"/>
    </xf>
    <xf numFmtId="4" fontId="6" fillId="0" borderId="56" xfId="51" applyNumberFormat="1" applyFont="1" applyFill="1" applyBorder="1" applyAlignment="1">
      <alignment vertical="center"/>
    </xf>
    <xf numFmtId="4" fontId="6" fillId="0" borderId="42" xfId="0" applyNumberFormat="1" applyFont="1" applyFill="1" applyBorder="1" applyAlignment="1">
      <alignment horizontal="right" vertical="center" indent="1"/>
    </xf>
    <xf numFmtId="0" fontId="13" fillId="0" borderId="27" xfId="54" applyFont="1" applyFill="1" applyBorder="1" applyAlignment="1">
      <alignment horizontal="left" vertical="center"/>
    </xf>
    <xf numFmtId="4" fontId="6" fillId="0" borderId="43" xfId="0" applyNumberFormat="1" applyFont="1" applyFill="1" applyBorder="1" applyAlignment="1">
      <alignment horizontal="right" vertical="center" indent="1"/>
    </xf>
    <xf numFmtId="0" fontId="13" fillId="0" borderId="0" xfId="51" applyFont="1" applyFill="1" applyBorder="1" applyAlignment="1">
      <alignment horizontal="left" vertical="center"/>
    </xf>
    <xf numFmtId="4" fontId="6" fillId="0" borderId="79" xfId="0" applyNumberFormat="1" applyFont="1" applyFill="1" applyBorder="1"/>
    <xf numFmtId="4" fontId="6" fillId="0" borderId="19" xfId="0" applyNumberFormat="1" applyFont="1" applyFill="1" applyBorder="1"/>
    <xf numFmtId="0" fontId="13" fillId="0" borderId="33" xfId="51" applyFont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4" fontId="19" fillId="0" borderId="0" xfId="51" applyNumberFormat="1" applyFont="1" applyFill="1" applyBorder="1" applyAlignment="1">
      <alignment vertical="center"/>
    </xf>
    <xf numFmtId="4" fontId="6" fillId="0" borderId="46" xfId="54" applyNumberFormat="1" applyFont="1" applyFill="1" applyBorder="1" applyAlignment="1">
      <alignment vertical="center"/>
    </xf>
    <xf numFmtId="4" fontId="6" fillId="0" borderId="14" xfId="54" applyNumberFormat="1" applyFont="1" applyFill="1" applyBorder="1" applyAlignment="1">
      <alignment vertical="center"/>
    </xf>
    <xf numFmtId="4" fontId="6" fillId="0" borderId="81" xfId="54" applyNumberFormat="1" applyFont="1" applyFill="1" applyBorder="1" applyAlignment="1">
      <alignment horizontal="right" vertical="center"/>
    </xf>
    <xf numFmtId="0" fontId="9" fillId="0" borderId="0" xfId="54" applyFont="1" applyAlignment="1">
      <alignment vertical="center"/>
    </xf>
    <xf numFmtId="4" fontId="6" fillId="0" borderId="75" xfId="54" applyNumberFormat="1" applyFont="1" applyFill="1" applyBorder="1" applyAlignment="1">
      <alignment horizontal="center" vertical="center"/>
    </xf>
    <xf numFmtId="0" fontId="11" fillId="52" borderId="50" xfId="54" applyFont="1" applyFill="1" applyBorder="1" applyAlignment="1">
      <alignment vertical="center"/>
    </xf>
    <xf numFmtId="0" fontId="11" fillId="52" borderId="32" xfId="54" applyFont="1" applyFill="1" applyBorder="1" applyAlignment="1">
      <alignment vertical="center"/>
    </xf>
    <xf numFmtId="0" fontId="11" fillId="52" borderId="73" xfId="54" applyFont="1" applyFill="1" applyBorder="1" applyAlignment="1">
      <alignment vertical="center"/>
    </xf>
    <xf numFmtId="4" fontId="8" fillId="52" borderId="50" xfId="54" applyNumberFormat="1" applyFont="1" applyFill="1" applyBorder="1" applyAlignment="1">
      <alignment vertical="center"/>
    </xf>
    <xf numFmtId="4" fontId="8" fillId="52" borderId="10" xfId="54" applyNumberFormat="1" applyFont="1" applyFill="1" applyBorder="1" applyAlignment="1">
      <alignment vertical="center"/>
    </xf>
    <xf numFmtId="4" fontId="8" fillId="52" borderId="11" xfId="54" applyNumberFormat="1" applyFont="1" applyFill="1" applyBorder="1" applyAlignment="1">
      <alignment horizontal="right" vertical="center"/>
    </xf>
    <xf numFmtId="4" fontId="6" fillId="0" borderId="0" xfId="54" applyNumberFormat="1" applyFont="1" applyAlignment="1">
      <alignment vertical="center"/>
    </xf>
    <xf numFmtId="169" fontId="6" fillId="0" borderId="0" xfId="54" applyNumberFormat="1" applyFont="1"/>
    <xf numFmtId="4" fontId="88" fillId="0" borderId="0" xfId="40" applyNumberFormat="1" applyFont="1" applyAlignment="1">
      <alignment vertical="center"/>
    </xf>
    <xf numFmtId="170" fontId="12" fillId="0" borderId="34" xfId="53" applyNumberFormat="1" applyFont="1" applyBorder="1" applyAlignment="1">
      <alignment horizontal="center" vertical="center" wrapText="1"/>
    </xf>
    <xf numFmtId="0" fontId="12" fillId="0" borderId="31" xfId="53" applyFont="1" applyBorder="1" applyAlignment="1">
      <alignment horizontal="left" vertical="center" wrapText="1"/>
    </xf>
    <xf numFmtId="170" fontId="12" fillId="0" borderId="34" xfId="53" applyNumberFormat="1" applyFont="1" applyBorder="1" applyAlignment="1">
      <alignment horizontal="right" vertical="center"/>
    </xf>
    <xf numFmtId="49" fontId="12" fillId="0" borderId="18" xfId="53" applyNumberFormat="1" applyFont="1" applyBorder="1" applyAlignment="1">
      <alignment horizontal="right" vertical="center"/>
    </xf>
    <xf numFmtId="0" fontId="12" fillId="17" borderId="62" xfId="53" applyFont="1" applyFill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7" fillId="17" borderId="62" xfId="53" applyFont="1" applyFill="1" applyBorder="1" applyAlignment="1">
      <alignment vertical="center" wrapText="1"/>
    </xf>
    <xf numFmtId="0" fontId="7" fillId="0" borderId="16" xfId="53" applyFont="1" applyBorder="1" applyAlignment="1">
      <alignment vertical="center" wrapText="1"/>
    </xf>
    <xf numFmtId="0" fontId="7" fillId="0" borderId="62" xfId="53" applyFont="1" applyBorder="1" applyAlignment="1">
      <alignment horizontal="left" vertical="top" wrapText="1"/>
    </xf>
    <xf numFmtId="0" fontId="7" fillId="0" borderId="62" xfId="53" applyFont="1" applyBorder="1" applyAlignment="1">
      <alignment horizontal="left" vertical="center" wrapText="1"/>
    </xf>
    <xf numFmtId="0" fontId="7" fillId="0" borderId="62" xfId="53" applyFont="1" applyBorder="1" applyAlignment="1">
      <alignment vertical="top" wrapText="1"/>
    </xf>
    <xf numFmtId="0" fontId="7" fillId="0" borderId="14" xfId="53" applyFont="1" applyBorder="1" applyAlignment="1">
      <alignment vertical="center" wrapText="1"/>
    </xf>
    <xf numFmtId="0" fontId="12" fillId="0" borderId="0" xfId="53" applyFont="1" applyAlignment="1">
      <alignment vertical="center"/>
    </xf>
    <xf numFmtId="4" fontId="7" fillId="0" borderId="0" xfId="53" applyNumberFormat="1" applyFont="1" applyAlignment="1">
      <alignment vertical="center" wrapText="1"/>
    </xf>
    <xf numFmtId="170" fontId="7" fillId="0" borderId="0" xfId="53" applyNumberFormat="1" applyFont="1" applyAlignment="1">
      <alignment horizontal="right" vertical="center"/>
    </xf>
    <xf numFmtId="49" fontId="12" fillId="0" borderId="0" xfId="53" applyNumberFormat="1" applyFont="1" applyBorder="1" applyAlignment="1">
      <alignment horizontal="right" vertical="center"/>
    </xf>
    <xf numFmtId="0" fontId="7" fillId="17" borderId="0" xfId="53" applyFont="1" applyFill="1" applyBorder="1" applyAlignment="1">
      <alignment vertical="center" wrapText="1"/>
    </xf>
    <xf numFmtId="0" fontId="88" fillId="0" borderId="0" xfId="40" applyFont="1" applyBorder="1" applyAlignment="1">
      <alignment vertical="center"/>
    </xf>
    <xf numFmtId="0" fontId="54" fillId="0" borderId="0" xfId="0" applyFont="1" applyBorder="1" applyAlignment="1">
      <alignment vertical="center" wrapText="1"/>
    </xf>
    <xf numFmtId="4" fontId="121" fillId="0" borderId="0" xfId="0" applyNumberFormat="1" applyFont="1" applyFill="1" applyBorder="1" applyAlignment="1">
      <alignment vertical="center"/>
    </xf>
    <xf numFmtId="4" fontId="101" fillId="0" borderId="0" xfId="0" applyNumberFormat="1" applyFont="1" applyFill="1" applyBorder="1" applyAlignment="1">
      <alignment vertical="center"/>
    </xf>
    <xf numFmtId="0" fontId="6" fillId="0" borderId="15" xfId="43" applyFont="1" applyFill="1" applyBorder="1" applyAlignment="1">
      <alignment horizontal="center"/>
    </xf>
    <xf numFmtId="0" fontId="6" fillId="0" borderId="16" xfId="43" applyFont="1" applyFill="1" applyBorder="1" applyAlignment="1">
      <alignment horizontal="center"/>
    </xf>
    <xf numFmtId="4" fontId="8" fillId="0" borderId="54" xfId="54" applyNumberFormat="1" applyFont="1" applyFill="1" applyBorder="1" applyAlignment="1">
      <alignment vertical="center"/>
    </xf>
    <xf numFmtId="0" fontId="7" fillId="17" borderId="72" xfId="53" applyFont="1" applyFill="1" applyBorder="1" applyAlignment="1">
      <alignment vertical="center" wrapText="1"/>
    </xf>
    <xf numFmtId="0" fontId="7" fillId="52" borderId="50" xfId="0" applyFont="1" applyFill="1" applyBorder="1" applyAlignment="1">
      <alignment horizontal="left"/>
    </xf>
    <xf numFmtId="0" fontId="12" fillId="52" borderId="50" xfId="0" applyFont="1" applyFill="1" applyBorder="1" applyAlignment="1">
      <alignment horizontal="left"/>
    </xf>
    <xf numFmtId="0" fontId="21" fillId="53" borderId="50" xfId="0" applyFont="1" applyFill="1" applyBorder="1" applyAlignment="1">
      <alignment horizontal="left"/>
    </xf>
    <xf numFmtId="0" fontId="98" fillId="59" borderId="14" xfId="0" applyFont="1" applyFill="1" applyBorder="1" applyAlignment="1">
      <alignment vertical="center" wrapText="1"/>
    </xf>
    <xf numFmtId="0" fontId="98" fillId="59" borderId="67" xfId="0" applyFont="1" applyFill="1" applyBorder="1" applyAlignment="1">
      <alignment horizontal="left" vertical="center" wrapText="1"/>
    </xf>
    <xf numFmtId="0" fontId="98" fillId="59" borderId="14" xfId="0" applyFont="1" applyFill="1" applyBorder="1" applyAlignment="1">
      <alignment vertical="center"/>
    </xf>
    <xf numFmtId="14" fontId="51" fillId="0" borderId="52" xfId="0" applyNumberFormat="1" applyFont="1" applyFill="1" applyBorder="1" applyAlignment="1">
      <alignment horizontal="center"/>
    </xf>
    <xf numFmtId="4" fontId="0" fillId="0" borderId="0" xfId="0" applyNumberFormat="1" applyFill="1"/>
    <xf numFmtId="4" fontId="6" fillId="0" borderId="14" xfId="0" applyNumberFormat="1" applyFont="1" applyBorder="1" applyAlignment="1">
      <alignment vertical="center"/>
    </xf>
    <xf numFmtId="0" fontId="88" fillId="0" borderId="0" xfId="40" applyFont="1" applyFill="1" applyAlignment="1">
      <alignment vertical="center"/>
    </xf>
    <xf numFmtId="0" fontId="6" fillId="0" borderId="0" xfId="0" applyFont="1" applyFill="1"/>
    <xf numFmtId="4" fontId="88" fillId="0" borderId="0" xfId="40" applyNumberFormat="1" applyFont="1" applyFill="1" applyAlignment="1">
      <alignment vertical="center"/>
    </xf>
    <xf numFmtId="4" fontId="103" fillId="0" borderId="0" xfId="46" applyNumberFormat="1" applyFont="1" applyFill="1" applyAlignment="1">
      <alignment vertical="center"/>
    </xf>
    <xf numFmtId="0" fontId="117" fillId="0" borderId="0" xfId="0" applyFont="1" applyFill="1" applyBorder="1" applyAlignment="1">
      <alignment vertical="center"/>
    </xf>
    <xf numFmtId="0" fontId="88" fillId="0" borderId="0" xfId="40" applyFont="1" applyFill="1" applyBorder="1" applyAlignment="1">
      <alignment vertical="center"/>
    </xf>
    <xf numFmtId="0" fontId="54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justify" vertical="center" wrapText="1"/>
    </xf>
    <xf numFmtId="0" fontId="7" fillId="0" borderId="0" xfId="50" applyFont="1" applyAlignment="1">
      <alignment horizontal="right" vertical="center"/>
    </xf>
    <xf numFmtId="0" fontId="8" fillId="0" borderId="0" xfId="50" applyFont="1" applyAlignment="1">
      <alignment horizontal="right" vertical="center"/>
    </xf>
    <xf numFmtId="0" fontId="7" fillId="0" borderId="14" xfId="50" applyFont="1" applyBorder="1" applyAlignment="1">
      <alignment horizontal="center" vertical="center" wrapText="1"/>
    </xf>
    <xf numFmtId="4" fontId="12" fillId="0" borderId="14" xfId="50" applyNumberFormat="1" applyFont="1" applyBorder="1" applyAlignment="1">
      <alignment vertical="center" wrapText="1"/>
    </xf>
    <xf numFmtId="49" fontId="83" fillId="0" borderId="0" xfId="0" applyNumberFormat="1" applyFont="1" applyAlignment="1">
      <alignment horizontal="center" vertical="center" wrapText="1"/>
    </xf>
    <xf numFmtId="0" fontId="14" fillId="0" borderId="0" xfId="43" applyFont="1" applyAlignment="1">
      <alignment horizontal="left" vertical="center"/>
    </xf>
    <xf numFmtId="4" fontId="14" fillId="0" borderId="0" xfId="43" applyNumberFormat="1" applyFont="1" applyAlignment="1">
      <alignment horizontal="left" vertical="center" wrapText="1"/>
    </xf>
    <xf numFmtId="0" fontId="99" fillId="0" borderId="14" xfId="0" applyFont="1" applyBorder="1" applyAlignment="1">
      <alignment horizontal="center" vertical="center"/>
    </xf>
    <xf numFmtId="0" fontId="83" fillId="0" borderId="14" xfId="0" applyFont="1" applyBorder="1" applyAlignment="1">
      <alignment vertical="center"/>
    </xf>
    <xf numFmtId="0" fontId="6" fillId="0" borderId="14" xfId="41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right" vertical="center"/>
    </xf>
    <xf numFmtId="0" fontId="6" fillId="0" borderId="14" xfId="41" applyFont="1" applyBorder="1" applyAlignment="1">
      <alignment horizontal="left" vertical="top" wrapText="1"/>
    </xf>
    <xf numFmtId="4" fontId="83" fillId="0" borderId="14" xfId="0" applyNumberFormat="1" applyFont="1" applyBorder="1" applyAlignment="1">
      <alignment vertical="center" wrapText="1"/>
    </xf>
    <xf numFmtId="4" fontId="12" fillId="0" borderId="68" xfId="0" applyNumberFormat="1" applyFont="1" applyFill="1" applyBorder="1" applyAlignment="1">
      <alignment horizontal="right"/>
    </xf>
    <xf numFmtId="4" fontId="47" fillId="0" borderId="0" xfId="0" applyNumberFormat="1" applyFont="1" applyFill="1" applyBorder="1"/>
    <xf numFmtId="4" fontId="47" fillId="0" borderId="70" xfId="0" applyNumberFormat="1" applyFont="1" applyFill="1" applyBorder="1"/>
    <xf numFmtId="4" fontId="47" fillId="0" borderId="42" xfId="0" applyNumberFormat="1" applyFont="1" applyFill="1" applyBorder="1"/>
    <xf numFmtId="170" fontId="11" fillId="0" borderId="0" xfId="53" applyNumberFormat="1" applyFont="1" applyBorder="1" applyAlignment="1">
      <alignment horizontal="right" vertical="center"/>
    </xf>
    <xf numFmtId="0" fontId="13" fillId="0" borderId="0" xfId="54" applyFont="1" applyFill="1" applyBorder="1" applyAlignment="1">
      <alignment horizontal="left" vertical="center"/>
    </xf>
    <xf numFmtId="0" fontId="25" fillId="0" borderId="0" xfId="54" applyFont="1" applyAlignment="1">
      <alignment horizontal="center" vertical="center"/>
    </xf>
    <xf numFmtId="0" fontId="6" fillId="0" borderId="54" xfId="54" applyFont="1" applyFill="1" applyBorder="1" applyAlignment="1">
      <alignment horizontal="center" vertical="center"/>
    </xf>
    <xf numFmtId="0" fontId="6" fillId="0" borderId="26" xfId="54" applyFont="1" applyFill="1" applyBorder="1" applyAlignment="1">
      <alignment horizontal="center" vertical="center"/>
    </xf>
    <xf numFmtId="0" fontId="13" fillId="0" borderId="87" xfId="54" applyFont="1" applyFill="1" applyBorder="1" applyAlignment="1">
      <alignment horizontal="left" vertical="center"/>
    </xf>
    <xf numFmtId="0" fontId="13" fillId="0" borderId="0" xfId="54" applyFont="1" applyFill="1" applyBorder="1" applyAlignment="1">
      <alignment horizontal="left"/>
    </xf>
    <xf numFmtId="0" fontId="6" fillId="0" borderId="54" xfId="54" applyFont="1" applyFill="1" applyBorder="1" applyAlignment="1">
      <alignment horizontal="center" vertical="center"/>
    </xf>
    <xf numFmtId="0" fontId="6" fillId="0" borderId="26" xfId="54" applyFont="1" applyFill="1" applyBorder="1" applyAlignment="1">
      <alignment horizontal="center" vertical="center"/>
    </xf>
    <xf numFmtId="0" fontId="6" fillId="0" borderId="14" xfId="54" applyFont="1" applyBorder="1" applyAlignment="1">
      <alignment horizontal="left" vertical="center"/>
    </xf>
    <xf numFmtId="0" fontId="6" fillId="0" borderId="16" xfId="54" applyFont="1" applyFill="1" applyBorder="1" applyAlignment="1">
      <alignment horizontal="left" vertical="center"/>
    </xf>
    <xf numFmtId="0" fontId="6" fillId="0" borderId="47" xfId="54" applyFont="1" applyFill="1" applyBorder="1" applyAlignment="1">
      <alignment horizontal="left" vertical="center"/>
    </xf>
    <xf numFmtId="4" fontId="24" fillId="0" borderId="56" xfId="54" applyNumberFormat="1" applyFont="1" applyFill="1" applyBorder="1" applyAlignment="1">
      <alignment horizontal="right"/>
    </xf>
    <xf numFmtId="4" fontId="13" fillId="0" borderId="23" xfId="51" applyNumberFormat="1" applyFont="1" applyFill="1" applyBorder="1" applyAlignment="1">
      <alignment vertical="center"/>
    </xf>
    <xf numFmtId="0" fontId="13" fillId="0" borderId="14" xfId="54" applyFont="1" applyFill="1" applyBorder="1" applyAlignment="1">
      <alignment horizontal="left" vertical="center"/>
    </xf>
    <xf numFmtId="4" fontId="6" fillId="0" borderId="14" xfId="0" applyNumberFormat="1" applyFont="1" applyFill="1" applyBorder="1" applyAlignment="1">
      <alignment horizontal="right" vertical="center" indent="1"/>
    </xf>
    <xf numFmtId="4" fontId="11" fillId="0" borderId="0" xfId="0" applyNumberFormat="1" applyFont="1" applyFill="1" applyAlignment="1">
      <alignment vertical="center"/>
    </xf>
    <xf numFmtId="0" fontId="11" fillId="0" borderId="57" xfId="54" applyFont="1" applyFill="1" applyBorder="1" applyAlignment="1">
      <alignment horizontal="center" vertical="center"/>
    </xf>
    <xf numFmtId="0" fontId="13" fillId="0" borderId="13" xfId="54" applyFont="1" applyFill="1" applyBorder="1" applyAlignment="1">
      <alignment horizontal="center"/>
    </xf>
    <xf numFmtId="0" fontId="6" fillId="0" borderId="27" xfId="0" applyFont="1" applyBorder="1" applyAlignment="1">
      <alignment vertical="center"/>
    </xf>
    <xf numFmtId="0" fontId="6" fillId="0" borderId="49" xfId="54" applyFont="1" applyBorder="1" applyAlignment="1">
      <alignment vertical="center"/>
    </xf>
    <xf numFmtId="0" fontId="6" fillId="0" borderId="87" xfId="54" applyFont="1" applyBorder="1" applyAlignment="1">
      <alignment vertical="center"/>
    </xf>
    <xf numFmtId="4" fontId="83" fillId="0" borderId="43" xfId="0" applyNumberFormat="1" applyFont="1" applyBorder="1" applyAlignment="1">
      <alignment horizontal="right" vertical="center" indent="1"/>
    </xf>
    <xf numFmtId="0" fontId="6" fillId="0" borderId="57" xfId="54" applyFont="1" applyFill="1" applyBorder="1" applyAlignment="1">
      <alignment horizontal="center" vertical="center"/>
    </xf>
    <xf numFmtId="0" fontId="13" fillId="0" borderId="13" xfId="54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right" vertical="center" indent="1"/>
    </xf>
    <xf numFmtId="0" fontId="13" fillId="0" borderId="49" xfId="54" applyFont="1" applyFill="1" applyBorder="1" applyAlignment="1">
      <alignment horizontal="left" vertical="center"/>
    </xf>
    <xf numFmtId="4" fontId="83" fillId="0" borderId="34" xfId="0" applyNumberFormat="1" applyFont="1" applyFill="1" applyBorder="1" applyAlignment="1">
      <alignment horizontal="right" vertical="center" indent="1"/>
    </xf>
    <xf numFmtId="0" fontId="6" fillId="0" borderId="27" xfId="0" applyFont="1" applyFill="1" applyBorder="1" applyAlignment="1">
      <alignment wrapText="1"/>
    </xf>
    <xf numFmtId="4" fontId="6" fillId="0" borderId="41" xfId="42" applyNumberFormat="1" applyFont="1" applyBorder="1"/>
    <xf numFmtId="4" fontId="6" fillId="0" borderId="42" xfId="42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/>
    <xf numFmtId="4" fontId="127" fillId="0" borderId="0" xfId="0" applyNumberFormat="1" applyFont="1" applyFill="1"/>
    <xf numFmtId="4" fontId="101" fillId="0" borderId="0" xfId="0" applyNumberFormat="1" applyFont="1" applyFill="1" applyAlignment="1">
      <alignment horizontal="right" vertical="center"/>
    </xf>
    <xf numFmtId="4" fontId="6" fillId="0" borderId="0" xfId="0" applyNumberFormat="1" applyFont="1" applyFill="1" applyAlignment="1">
      <alignment horizontal="right" vertical="center"/>
    </xf>
    <xf numFmtId="0" fontId="6" fillId="0" borderId="40" xfId="54" applyFont="1" applyBorder="1" applyAlignment="1">
      <alignment horizontal="center" vertical="center"/>
    </xf>
    <xf numFmtId="0" fontId="6" fillId="0" borderId="44" xfId="54" applyFont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127" fillId="0" borderId="0" xfId="0" applyFont="1" applyFill="1"/>
    <xf numFmtId="0" fontId="83" fillId="0" borderId="14" xfId="111" applyFont="1" applyBorder="1"/>
    <xf numFmtId="0" fontId="83" fillId="0" borderId="14" xfId="110" applyFont="1" applyBorder="1"/>
    <xf numFmtId="4" fontId="83" fillId="0" borderId="14" xfId="110" applyNumberFormat="1" applyFont="1" applyBorder="1"/>
    <xf numFmtId="2" fontId="83" fillId="0" borderId="14" xfId="111" applyNumberFormat="1" applyFont="1" applyBorder="1"/>
    <xf numFmtId="4" fontId="83" fillId="0" borderId="14" xfId="111" applyNumberFormat="1" applyFont="1" applyBorder="1"/>
    <xf numFmtId="0" fontId="6" fillId="0" borderId="36" xfId="41" applyFont="1" applyBorder="1" applyAlignment="1">
      <alignment horizontal="left" vertical="top" wrapText="1"/>
    </xf>
    <xf numFmtId="4" fontId="83" fillId="0" borderId="14" xfId="111" applyNumberFormat="1" applyFont="1" applyBorder="1" applyAlignment="1">
      <alignment vertical="center"/>
    </xf>
    <xf numFmtId="4" fontId="98" fillId="59" borderId="15" xfId="0" applyNumberFormat="1" applyFont="1" applyFill="1" applyBorder="1" applyAlignment="1">
      <alignment horizontal="right" vertical="center"/>
    </xf>
    <xf numFmtId="0" fontId="83" fillId="0" borderId="0" xfId="111" applyFont="1" applyFill="1" applyBorder="1" applyAlignment="1">
      <alignment vertical="center"/>
    </xf>
    <xf numFmtId="0" fontId="83" fillId="0" borderId="14" xfId="111" applyFont="1" applyBorder="1" applyAlignment="1">
      <alignment vertical="center"/>
    </xf>
    <xf numFmtId="0" fontId="98" fillId="59" borderId="63" xfId="0" applyFont="1" applyFill="1" applyBorder="1" applyAlignment="1">
      <alignment vertical="center"/>
    </xf>
    <xf numFmtId="4" fontId="6" fillId="0" borderId="36" xfId="0" applyNumberFormat="1" applyFont="1" applyBorder="1" applyAlignment="1">
      <alignment horizontal="right" vertical="center"/>
    </xf>
    <xf numFmtId="0" fontId="83" fillId="0" borderId="0" xfId="111" applyFont="1"/>
    <xf numFmtId="0" fontId="83" fillId="0" borderId="14" xfId="111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/>
    </xf>
    <xf numFmtId="0" fontId="98" fillId="59" borderId="14" xfId="0" applyFont="1" applyFill="1" applyBorder="1" applyAlignment="1">
      <alignment horizontal="center" vertical="center"/>
    </xf>
    <xf numFmtId="0" fontId="83" fillId="0" borderId="14" xfId="111" applyFont="1" applyBorder="1" applyAlignment="1">
      <alignment horizontal="center"/>
    </xf>
    <xf numFmtId="0" fontId="0" fillId="0" borderId="0" xfId="0" applyAlignment="1">
      <alignment horizontal="center"/>
    </xf>
    <xf numFmtId="0" fontId="83" fillId="0" borderId="14" xfId="11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98" fillId="59" borderId="14" xfId="0" applyFont="1" applyFill="1" applyBorder="1" applyAlignment="1">
      <alignment horizontal="left" vertical="center"/>
    </xf>
    <xf numFmtId="0" fontId="98" fillId="59" borderId="62" xfId="0" applyFont="1" applyFill="1" applyBorder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100" fillId="0" borderId="0" xfId="0" applyFont="1" applyFill="1" applyAlignment="1">
      <alignment horizontal="center" vertical="center"/>
    </xf>
    <xf numFmtId="4" fontId="83" fillId="0" borderId="14" xfId="111" applyNumberFormat="1" applyFont="1" applyFill="1" applyBorder="1" applyAlignment="1">
      <alignment vertical="center"/>
    </xf>
    <xf numFmtId="4" fontId="83" fillId="0" borderId="14" xfId="111" applyNumberFormat="1" applyFont="1" applyFill="1" applyBorder="1"/>
    <xf numFmtId="0" fontId="83" fillId="0" borderId="0" xfId="111" applyFont="1" applyFill="1"/>
    <xf numFmtId="0" fontId="6" fillId="0" borderId="14" xfId="41" applyFont="1" applyFill="1" applyBorder="1" applyAlignment="1">
      <alignment horizontal="left" vertical="center" wrapText="1"/>
    </xf>
    <xf numFmtId="0" fontId="84" fillId="0" borderId="0" xfId="41" applyFont="1" applyFill="1" applyAlignment="1">
      <alignment vertical="center"/>
    </xf>
    <xf numFmtId="0" fontId="100" fillId="0" borderId="0" xfId="0" applyFont="1" applyFill="1" applyBorder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83" fillId="0" borderId="0" xfId="0" applyFont="1" applyFill="1" applyAlignment="1">
      <alignment horizontal="right" vertical="center"/>
    </xf>
    <xf numFmtId="0" fontId="100" fillId="0" borderId="0" xfId="0" applyFont="1" applyFill="1" applyAlignment="1">
      <alignment horizontal="left" vertical="center"/>
    </xf>
    <xf numFmtId="4" fontId="130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4" fontId="83" fillId="0" borderId="0" xfId="111" applyNumberFormat="1" applyFont="1" applyFill="1" applyBorder="1" applyAlignment="1">
      <alignment vertical="center"/>
    </xf>
    <xf numFmtId="0" fontId="97" fillId="58" borderId="36" xfId="0" applyFont="1" applyFill="1" applyBorder="1" applyAlignment="1">
      <alignment horizontal="center" vertical="center"/>
    </xf>
    <xf numFmtId="0" fontId="97" fillId="58" borderId="36" xfId="0" applyFont="1" applyFill="1" applyBorder="1" applyAlignment="1">
      <alignment horizontal="center" vertical="center" wrapText="1"/>
    </xf>
    <xf numFmtId="4" fontId="97" fillId="58" borderId="36" xfId="0" applyNumberFormat="1" applyFont="1" applyFill="1" applyBorder="1" applyAlignment="1">
      <alignment horizontal="center" vertical="center" wrapText="1"/>
    </xf>
    <xf numFmtId="4" fontId="83" fillId="0" borderId="14" xfId="110" applyNumberFormat="1" applyFont="1" applyFill="1" applyBorder="1"/>
    <xf numFmtId="4" fontId="83" fillId="0" borderId="14" xfId="0" applyNumberFormat="1" applyFont="1" applyFill="1" applyBorder="1" applyAlignment="1">
      <alignment horizontal="right" vertical="center"/>
    </xf>
    <xf numFmtId="0" fontId="83" fillId="0" borderId="15" xfId="110" applyFont="1" applyBorder="1" applyAlignment="1">
      <alignment horizontal="center"/>
    </xf>
    <xf numFmtId="0" fontId="83" fillId="0" borderId="15" xfId="110" applyFont="1" applyBorder="1"/>
    <xf numFmtId="4" fontId="83" fillId="0" borderId="15" xfId="110" applyNumberFormat="1" applyFont="1" applyBorder="1"/>
    <xf numFmtId="4" fontId="83" fillId="0" borderId="15" xfId="110" applyNumberFormat="1" applyFont="1" applyFill="1" applyBorder="1"/>
    <xf numFmtId="0" fontId="83" fillId="0" borderId="14" xfId="0" applyFont="1" applyFill="1" applyBorder="1" applyAlignment="1">
      <alignment horizontal="center" vertical="center"/>
    </xf>
    <xf numFmtId="0" fontId="83" fillId="0" borderId="14" xfId="0" applyFont="1" applyFill="1" applyBorder="1" applyAlignment="1">
      <alignment vertical="center"/>
    </xf>
    <xf numFmtId="0" fontId="83" fillId="0" borderId="14" xfId="111" applyFont="1" applyFill="1" applyBorder="1" applyAlignment="1">
      <alignment horizontal="center"/>
    </xf>
    <xf numFmtId="0" fontId="83" fillId="0" borderId="14" xfId="111" applyFont="1" applyFill="1" applyBorder="1"/>
    <xf numFmtId="0" fontId="83" fillId="0" borderId="15" xfId="111" applyFont="1" applyBorder="1" applyAlignment="1">
      <alignment horizontal="center" vertical="center"/>
    </xf>
    <xf numFmtId="0" fontId="83" fillId="0" borderId="15" xfId="111" applyFont="1" applyBorder="1" applyAlignment="1">
      <alignment vertical="center"/>
    </xf>
    <xf numFmtId="4" fontId="83" fillId="0" borderId="15" xfId="111" applyNumberFormat="1" applyFont="1" applyBorder="1" applyAlignment="1">
      <alignment vertical="center"/>
    </xf>
    <xf numFmtId="4" fontId="83" fillId="0" borderId="15" xfId="111" applyNumberFormat="1" applyFont="1" applyFill="1" applyBorder="1" applyAlignment="1">
      <alignment vertical="center"/>
    </xf>
    <xf numFmtId="0" fontId="98" fillId="59" borderId="45" xfId="0" applyFont="1" applyFill="1" applyBorder="1" applyAlignment="1">
      <alignment vertical="center"/>
    </xf>
    <xf numFmtId="0" fontId="98" fillId="59" borderId="47" xfId="0" applyFont="1" applyFill="1" applyBorder="1" applyAlignment="1">
      <alignment horizontal="left" vertical="center" wrapText="1"/>
    </xf>
    <xf numFmtId="4" fontId="98" fillId="59" borderId="16" xfId="0" applyNumberFormat="1" applyFont="1" applyFill="1" applyBorder="1" applyAlignment="1">
      <alignment horizontal="right" vertical="center"/>
    </xf>
    <xf numFmtId="4" fontId="98" fillId="59" borderId="47" xfId="0" applyNumberFormat="1" applyFont="1" applyFill="1" applyBorder="1" applyAlignment="1">
      <alignment horizontal="right" vertical="center"/>
    </xf>
    <xf numFmtId="4" fontId="98" fillId="59" borderId="67" xfId="0" applyNumberFormat="1" applyFont="1" applyFill="1" applyBorder="1" applyAlignment="1">
      <alignment horizontal="right" vertical="center"/>
    </xf>
    <xf numFmtId="0" fontId="98" fillId="59" borderId="16" xfId="0" applyFont="1" applyFill="1" applyBorder="1" applyAlignment="1">
      <alignment horizontal="left" vertical="center" wrapText="1"/>
    </xf>
    <xf numFmtId="0" fontId="83" fillId="0" borderId="36" xfId="0" applyFont="1" applyBorder="1" applyAlignment="1">
      <alignment horizontal="center" vertical="center"/>
    </xf>
    <xf numFmtId="4" fontId="83" fillId="0" borderId="36" xfId="0" applyNumberFormat="1" applyFont="1" applyBorder="1" applyAlignment="1">
      <alignment vertical="center"/>
    </xf>
    <xf numFmtId="0" fontId="98" fillId="59" borderId="15" xfId="0" applyFont="1" applyFill="1" applyBorder="1" applyAlignment="1">
      <alignment horizontal="left" vertical="center"/>
    </xf>
    <xf numFmtId="0" fontId="98" fillId="59" borderId="15" xfId="0" applyFont="1" applyFill="1" applyBorder="1" applyAlignment="1">
      <alignment vertical="center"/>
    </xf>
    <xf numFmtId="0" fontId="83" fillId="0" borderId="0" xfId="0" applyFont="1" applyBorder="1" applyAlignment="1">
      <alignment horizontal="center" vertical="center" wrapText="1"/>
    </xf>
    <xf numFmtId="0" fontId="6" fillId="0" borderId="0" xfId="41" applyFont="1" applyBorder="1" applyAlignment="1">
      <alignment horizontal="left" vertical="center" wrapText="1"/>
    </xf>
    <xf numFmtId="4" fontId="83" fillId="0" borderId="0" xfId="0" applyNumberFormat="1" applyFont="1" applyBorder="1" applyAlignment="1">
      <alignment vertical="center" wrapText="1"/>
    </xf>
    <xf numFmtId="0" fontId="102" fillId="0" borderId="0" xfId="53" applyFont="1" applyAlignment="1">
      <alignment horizontal="center" vertical="center" wrapText="1"/>
    </xf>
    <xf numFmtId="4" fontId="6" fillId="0" borderId="0" xfId="112" applyNumberFormat="1" applyFont="1" applyAlignment="1">
      <alignment vertical="center" wrapText="1"/>
    </xf>
    <xf numFmtId="0" fontId="8" fillId="0" borderId="0" xfId="112" applyFont="1" applyAlignment="1">
      <alignment horizontal="center" vertical="center" wrapText="1"/>
    </xf>
    <xf numFmtId="0" fontId="5" fillId="0" borderId="0" xfId="40" applyFont="1"/>
    <xf numFmtId="0" fontId="7" fillId="17" borderId="14" xfId="53" applyFont="1" applyFill="1" applyBorder="1" applyAlignment="1">
      <alignment vertical="center" wrapText="1"/>
    </xf>
    <xf numFmtId="0" fontId="7" fillId="0" borderId="66" xfId="53" applyFont="1" applyBorder="1" applyAlignment="1">
      <alignment vertical="center" wrapText="1"/>
    </xf>
    <xf numFmtId="4" fontId="111" fillId="0" borderId="0" xfId="40" applyNumberFormat="1" applyFont="1" applyFill="1" applyBorder="1" applyAlignment="1">
      <alignment horizontal="right" vertical="center" wrapText="1"/>
    </xf>
    <xf numFmtId="169" fontId="111" fillId="0" borderId="0" xfId="40" applyNumberFormat="1" applyFont="1" applyFill="1" applyBorder="1" applyAlignment="1">
      <alignment horizontal="right" vertical="center" wrapText="1"/>
    </xf>
    <xf numFmtId="0" fontId="135" fillId="0" borderId="0" xfId="40" applyFont="1" applyFill="1" applyBorder="1" applyAlignment="1">
      <alignment horizontal="right"/>
    </xf>
    <xf numFmtId="0" fontId="88" fillId="0" borderId="0" xfId="40" applyFont="1" applyFill="1" applyBorder="1" applyAlignment="1">
      <alignment horizontal="right"/>
    </xf>
    <xf numFmtId="169" fontId="88" fillId="0" borderId="0" xfId="40" applyNumberFormat="1" applyFont="1" applyFill="1" applyBorder="1"/>
    <xf numFmtId="169" fontId="54" fillId="0" borderId="0" xfId="0" applyNumberFormat="1" applyFont="1" applyFill="1" applyBorder="1" applyAlignment="1">
      <alignment vertical="center" wrapText="1"/>
    </xf>
    <xf numFmtId="169" fontId="111" fillId="0" borderId="0" xfId="40" applyNumberFormat="1" applyFont="1" applyFill="1" applyBorder="1" applyAlignment="1">
      <alignment horizontal="right" vertical="center"/>
    </xf>
    <xf numFmtId="169" fontId="111" fillId="0" borderId="0" xfId="40" applyNumberFormat="1" applyFont="1" applyFill="1" applyBorder="1" applyAlignment="1">
      <alignment vertical="center"/>
    </xf>
    <xf numFmtId="171" fontId="88" fillId="0" borderId="0" xfId="40" applyNumberFormat="1" applyFont="1" applyFill="1" applyBorder="1" applyAlignment="1">
      <alignment vertical="center"/>
    </xf>
    <xf numFmtId="171" fontId="64" fillId="0" borderId="0" xfId="0" applyNumberFormat="1" applyFont="1" applyFill="1" applyBorder="1" applyAlignment="1">
      <alignment horizontal="justify" vertical="center" wrapText="1"/>
    </xf>
    <xf numFmtId="4" fontId="54" fillId="0" borderId="0" xfId="0" applyNumberFormat="1" applyFont="1" applyFill="1" applyBorder="1" applyAlignment="1">
      <alignment vertical="center" wrapText="1"/>
    </xf>
    <xf numFmtId="4" fontId="132" fillId="0" borderId="0" xfId="40" applyNumberFormat="1" applyFont="1" applyFill="1" applyBorder="1" applyAlignment="1">
      <alignment horizontal="right" vertical="center"/>
    </xf>
    <xf numFmtId="169" fontId="137" fillId="0" borderId="0" xfId="40" applyNumberFormat="1" applyFont="1" applyFill="1" applyBorder="1" applyAlignment="1">
      <alignment vertical="center"/>
    </xf>
    <xf numFmtId="4" fontId="132" fillId="0" borderId="0" xfId="40" applyNumberFormat="1" applyFont="1" applyFill="1" applyBorder="1" applyAlignment="1">
      <alignment vertical="center"/>
    </xf>
    <xf numFmtId="4" fontId="132" fillId="0" borderId="0" xfId="40" applyNumberFormat="1" applyFont="1" applyFill="1" applyBorder="1" applyAlignment="1">
      <alignment horizontal="right" vertical="center" wrapText="1"/>
    </xf>
    <xf numFmtId="169" fontId="114" fillId="0" borderId="0" xfId="40" applyNumberFormat="1" applyFont="1" applyFill="1" applyBorder="1" applyAlignment="1">
      <alignment vertical="center"/>
    </xf>
    <xf numFmtId="0" fontId="109" fillId="0" borderId="0" xfId="40" applyFont="1" applyFill="1" applyBorder="1" applyAlignment="1">
      <alignment horizontal="right" vertical="center"/>
    </xf>
    <xf numFmtId="169" fontId="88" fillId="0" borderId="0" xfId="40" applyNumberFormat="1" applyFont="1" applyFill="1" applyBorder="1" applyAlignment="1">
      <alignment vertical="top"/>
    </xf>
    <xf numFmtId="167" fontId="88" fillId="0" borderId="0" xfId="40" applyNumberFormat="1" applyFont="1" applyFill="1" applyBorder="1" applyAlignment="1">
      <alignment vertical="center"/>
    </xf>
    <xf numFmtId="169" fontId="88" fillId="0" borderId="0" xfId="40" applyNumberFormat="1" applyFont="1" applyFill="1" applyBorder="1" applyAlignment="1">
      <alignment vertical="center"/>
    </xf>
    <xf numFmtId="8" fontId="54" fillId="0" borderId="0" xfId="0" applyNumberFormat="1" applyFont="1" applyFill="1" applyBorder="1"/>
    <xf numFmtId="169" fontId="88" fillId="0" borderId="0" xfId="40" applyNumberFormat="1" applyFont="1" applyFill="1" applyBorder="1" applyAlignment="1">
      <alignment horizontal="right" vertical="center" wrapText="1"/>
    </xf>
    <xf numFmtId="171" fontId="0" fillId="0" borderId="0" xfId="0" applyNumberFormat="1" applyFill="1" applyBorder="1"/>
    <xf numFmtId="0" fontId="88" fillId="0" borderId="0" xfId="40" applyFont="1" applyFill="1" applyBorder="1"/>
    <xf numFmtId="4" fontId="132" fillId="0" borderId="0" xfId="46" applyNumberFormat="1" applyFont="1" applyFill="1" applyBorder="1" applyAlignment="1">
      <alignment vertical="center"/>
    </xf>
    <xf numFmtId="4" fontId="88" fillId="0" borderId="0" xfId="40" applyNumberFormat="1" applyFont="1" applyFill="1" applyBorder="1"/>
    <xf numFmtId="4" fontId="144" fillId="0" borderId="0" xfId="40" applyNumberFormat="1" applyFont="1" applyFill="1" applyBorder="1" applyAlignment="1">
      <alignment vertical="center"/>
    </xf>
    <xf numFmtId="0" fontId="88" fillId="0" borderId="54" xfId="40" applyFont="1" applyBorder="1" applyAlignment="1">
      <alignment vertical="center"/>
    </xf>
    <xf numFmtId="170" fontId="7" fillId="0" borderId="19" xfId="53" applyNumberFormat="1" applyFont="1" applyBorder="1" applyAlignment="1">
      <alignment horizontal="right" vertical="center"/>
    </xf>
    <xf numFmtId="0" fontId="7" fillId="0" borderId="33" xfId="53" applyFont="1" applyBorder="1" applyAlignment="1">
      <alignment vertical="center" wrapText="1"/>
    </xf>
    <xf numFmtId="0" fontId="145" fillId="59" borderId="50" xfId="53" applyFont="1" applyFill="1" applyBorder="1" applyAlignment="1">
      <alignment vertical="center"/>
    </xf>
    <xf numFmtId="4" fontId="146" fillId="59" borderId="32" xfId="53" applyNumberFormat="1" applyFont="1" applyFill="1" applyBorder="1" applyAlignment="1">
      <alignment vertical="center" wrapText="1"/>
    </xf>
    <xf numFmtId="4" fontId="148" fillId="0" borderId="0" xfId="46" applyNumberFormat="1" applyFont="1" applyFill="1" applyBorder="1"/>
    <xf numFmtId="170" fontId="149" fillId="0" borderId="0" xfId="46" applyNumberFormat="1" applyFont="1" applyFill="1" applyBorder="1"/>
    <xf numFmtId="0" fontId="149" fillId="0" borderId="0" xfId="40" applyFont="1" applyFill="1" applyBorder="1"/>
    <xf numFmtId="0" fontId="149" fillId="0" borderId="0" xfId="40" applyFont="1"/>
    <xf numFmtId="0" fontId="149" fillId="0" borderId="0" xfId="40" applyFont="1" applyAlignment="1">
      <alignment vertical="center"/>
    </xf>
    <xf numFmtId="0" fontId="15" fillId="0" borderId="0" xfId="114" applyFont="1"/>
    <xf numFmtId="0" fontId="5" fillId="0" borderId="0" xfId="114"/>
    <xf numFmtId="0" fontId="5" fillId="0" borderId="0" xfId="114" applyAlignment="1">
      <alignment horizontal="center"/>
    </xf>
    <xf numFmtId="4" fontId="12" fillId="0" borderId="15" xfId="114" applyNumberFormat="1" applyFont="1" applyBorder="1" applyAlignment="1">
      <alignment vertical="center"/>
    </xf>
    <xf numFmtId="4" fontId="12" fillId="0" borderId="14" xfId="114" applyNumberFormat="1" applyFont="1" applyBorder="1" applyAlignment="1">
      <alignment vertical="center"/>
    </xf>
    <xf numFmtId="0" fontId="12" fillId="0" borderId="15" xfId="114" applyFont="1" applyBorder="1" applyAlignment="1">
      <alignment horizontal="center" vertical="center"/>
    </xf>
    <xf numFmtId="49" fontId="12" fillId="0" borderId="15" xfId="114" applyNumberFormat="1" applyFont="1" applyBorder="1" applyAlignment="1">
      <alignment horizontal="center" vertical="center"/>
    </xf>
    <xf numFmtId="0" fontId="12" fillId="54" borderId="15" xfId="114" applyFont="1" applyFill="1" applyBorder="1" applyAlignment="1">
      <alignment horizontal="center" vertical="center"/>
    </xf>
    <xf numFmtId="0" fontId="12" fillId="0" borderId="15" xfId="114" applyFont="1" applyBorder="1" applyAlignment="1">
      <alignment vertical="center"/>
    </xf>
    <xf numFmtId="0" fontId="12" fillId="0" borderId="0" xfId="114" applyFont="1"/>
    <xf numFmtId="0" fontId="12" fillId="0" borderId="14" xfId="114" applyFont="1" applyBorder="1" applyAlignment="1">
      <alignment horizontal="center" vertical="center"/>
    </xf>
    <xf numFmtId="49" fontId="12" fillId="0" borderId="14" xfId="114" applyNumberFormat="1" applyFont="1" applyBorder="1" applyAlignment="1">
      <alignment horizontal="center" vertical="center"/>
    </xf>
    <xf numFmtId="0" fontId="12" fillId="0" borderId="14" xfId="114" applyFont="1" applyBorder="1" applyAlignment="1">
      <alignment vertical="center" wrapText="1"/>
    </xf>
    <xf numFmtId="49" fontId="12" fillId="0" borderId="14" xfId="114" applyNumberFormat="1" applyFont="1" applyBorder="1" applyAlignment="1">
      <alignment horizontal="center" vertical="center" wrapText="1"/>
    </xf>
    <xf numFmtId="0" fontId="62" fillId="0" borderId="0" xfId="114" applyFont="1"/>
    <xf numFmtId="0" fontId="12" fillId="0" borderId="0" xfId="114" applyFont="1" applyAlignment="1">
      <alignment wrapText="1"/>
    </xf>
    <xf numFmtId="4" fontId="12" fillId="0" borderId="15" xfId="114" applyNumberFormat="1" applyFont="1" applyBorder="1" applyAlignment="1">
      <alignment horizontal="right" vertical="center"/>
    </xf>
    <xf numFmtId="4" fontId="12" fillId="0" borderId="0" xfId="114" applyNumberFormat="1" applyFont="1" applyAlignment="1">
      <alignment vertical="center"/>
    </xf>
    <xf numFmtId="0" fontId="12" fillId="0" borderId="0" xfId="114" applyFont="1" applyAlignment="1">
      <alignment vertical="center"/>
    </xf>
    <xf numFmtId="4" fontId="12" fillId="0" borderId="14" xfId="114" applyNumberFormat="1" applyFont="1" applyBorder="1" applyAlignment="1">
      <alignment horizontal="right" vertical="center"/>
    </xf>
    <xf numFmtId="0" fontId="18" fillId="0" borderId="0" xfId="48"/>
    <xf numFmtId="0" fontId="18" fillId="0" borderId="0" xfId="48" applyAlignment="1">
      <alignment horizontal="right"/>
    </xf>
    <xf numFmtId="0" fontId="156" fillId="0" borderId="0" xfId="48" applyFont="1"/>
    <xf numFmtId="0" fontId="156" fillId="0" borderId="0" xfId="48" applyFont="1" applyAlignment="1">
      <alignment horizontal="right"/>
    </xf>
    <xf numFmtId="0" fontId="7" fillId="0" borderId="89" xfId="48" applyFont="1" applyBorder="1" applyAlignment="1">
      <alignment horizontal="center" vertical="center" wrapText="1"/>
    </xf>
    <xf numFmtId="0" fontId="7" fillId="0" borderId="91" xfId="48" applyFont="1" applyBorder="1" applyAlignment="1">
      <alignment horizontal="center" vertical="center" wrapText="1"/>
    </xf>
    <xf numFmtId="0" fontId="7" fillId="0" borderId="90" xfId="48" applyFont="1" applyBorder="1" applyAlignment="1">
      <alignment horizontal="center" vertical="center" wrapText="1"/>
    </xf>
    <xf numFmtId="0" fontId="7" fillId="0" borderId="91" xfId="48" applyFont="1" applyBorder="1" applyAlignment="1">
      <alignment horizontal="right" vertical="center" wrapText="1"/>
    </xf>
    <xf numFmtId="0" fontId="7" fillId="0" borderId="92" xfId="48" applyFont="1" applyBorder="1" applyAlignment="1">
      <alignment horizontal="center" vertical="center" wrapText="1"/>
    </xf>
    <xf numFmtId="0" fontId="5" fillId="0" borderId="60" xfId="48" applyFont="1" applyBorder="1" applyAlignment="1">
      <alignment horizontal="center" vertical="center" wrapText="1"/>
    </xf>
    <xf numFmtId="49" fontId="5" fillId="0" borderId="62" xfId="48" applyNumberFormat="1" applyFont="1" applyBorder="1" applyAlignment="1">
      <alignment horizontal="center" vertical="center" wrapText="1"/>
    </xf>
    <xf numFmtId="2" fontId="5" fillId="0" borderId="62" xfId="48" applyNumberFormat="1" applyFont="1" applyBorder="1" applyAlignment="1">
      <alignment horizontal="center" vertical="center" wrapText="1"/>
    </xf>
    <xf numFmtId="4" fontId="60" fillId="0" borderId="14" xfId="115" applyNumberFormat="1" applyFont="1" applyBorder="1" applyAlignment="1">
      <alignment vertical="center"/>
    </xf>
    <xf numFmtId="4" fontId="60" fillId="0" borderId="39" xfId="115" applyNumberFormat="1" applyFont="1" applyBorder="1" applyAlignment="1">
      <alignment vertical="center"/>
    </xf>
    <xf numFmtId="0" fontId="18" fillId="0" borderId="0" xfId="48" applyAlignment="1">
      <alignment vertical="center"/>
    </xf>
    <xf numFmtId="0" fontId="5" fillId="0" borderId="52" xfId="48" applyFont="1" applyBorder="1" applyAlignment="1">
      <alignment horizontal="center" vertical="center" wrapText="1"/>
    </xf>
    <xf numFmtId="49" fontId="5" fillId="0" borderId="16" xfId="48" applyNumberFormat="1" applyFont="1" applyBorder="1" applyAlignment="1">
      <alignment horizontal="center" vertical="center" wrapText="1"/>
    </xf>
    <xf numFmtId="49" fontId="5" fillId="0" borderId="66" xfId="48" applyNumberFormat="1" applyFont="1" applyBorder="1" applyAlignment="1">
      <alignment horizontal="center" vertical="center" wrapText="1"/>
    </xf>
    <xf numFmtId="49" fontId="5" fillId="0" borderId="14" xfId="48" applyNumberFormat="1" applyFont="1" applyBorder="1" applyAlignment="1">
      <alignment horizontal="center" vertical="center" wrapText="1"/>
    </xf>
    <xf numFmtId="4" fontId="60" fillId="0" borderId="36" xfId="115" applyNumberFormat="1" applyFont="1" applyBorder="1" applyAlignment="1">
      <alignment vertical="center"/>
    </xf>
    <xf numFmtId="2" fontId="5" fillId="0" borderId="16" xfId="48" applyNumberFormat="1" applyFont="1" applyBorder="1" applyAlignment="1">
      <alignment horizontal="center" vertical="center" wrapText="1"/>
    </xf>
    <xf numFmtId="2" fontId="5" fillId="0" borderId="14" xfId="48" applyNumberFormat="1" applyFont="1" applyBorder="1" applyAlignment="1">
      <alignment horizontal="center" vertical="center" wrapText="1"/>
    </xf>
    <xf numFmtId="4" fontId="18" fillId="0" borderId="0" xfId="48" applyNumberFormat="1" applyAlignment="1">
      <alignment vertical="center"/>
    </xf>
    <xf numFmtId="49" fontId="5" fillId="0" borderId="36" xfId="48" applyNumberFormat="1" applyFont="1" applyBorder="1" applyAlignment="1">
      <alignment horizontal="center" vertical="center" wrapText="1"/>
    </xf>
    <xf numFmtId="2" fontId="5" fillId="0" borderId="66" xfId="48" applyNumberFormat="1" applyFont="1" applyBorder="1" applyAlignment="1">
      <alignment horizontal="center" vertical="center" wrapText="1"/>
    </xf>
    <xf numFmtId="4" fontId="60" fillId="0" borderId="37" xfId="115" applyNumberFormat="1" applyFont="1" applyBorder="1" applyAlignment="1">
      <alignment vertical="center"/>
    </xf>
    <xf numFmtId="0" fontId="5" fillId="0" borderId="12" xfId="48" applyFont="1" applyBorder="1" applyAlignment="1">
      <alignment horizontal="center" vertical="center" wrapText="1"/>
    </xf>
    <xf numFmtId="49" fontId="11" fillId="0" borderId="10" xfId="48" applyNumberFormat="1" applyFont="1" applyBorder="1" applyAlignment="1">
      <alignment horizontal="center" vertical="center" wrapText="1"/>
    </xf>
    <xf numFmtId="2" fontId="11" fillId="0" borderId="10" xfId="48" applyNumberFormat="1" applyFont="1" applyBorder="1" applyAlignment="1">
      <alignment horizontal="center" vertical="center" wrapText="1"/>
    </xf>
    <xf numFmtId="0" fontId="18" fillId="0" borderId="0" xfId="48" applyAlignment="1">
      <alignment horizontal="center" vertical="center"/>
    </xf>
    <xf numFmtId="0" fontId="5" fillId="0" borderId="0" xfId="48" applyFont="1" applyAlignment="1">
      <alignment horizontal="left" vertical="center" wrapText="1"/>
    </xf>
    <xf numFmtId="49" fontId="5" fillId="0" borderId="0" xfId="48" applyNumberFormat="1" applyFont="1" applyAlignment="1">
      <alignment horizontal="center" vertical="center" wrapText="1"/>
    </xf>
    <xf numFmtId="2" fontId="5" fillId="0" borderId="0" xfId="48" applyNumberFormat="1" applyFont="1" applyAlignment="1">
      <alignment horizontal="center" vertical="center" wrapText="1"/>
    </xf>
    <xf numFmtId="4" fontId="15" fillId="0" borderId="0" xfId="48" applyNumberFormat="1" applyFont="1" applyAlignment="1">
      <alignment horizontal="right" vertical="center"/>
    </xf>
    <xf numFmtId="4" fontId="15" fillId="0" borderId="0" xfId="48" applyNumberFormat="1" applyFont="1" applyAlignment="1">
      <alignment vertical="center"/>
    </xf>
    <xf numFmtId="49" fontId="157" fillId="0" borderId="0" xfId="0" applyNumberFormat="1" applyFont="1" applyAlignment="1">
      <alignment horizontal="right"/>
    </xf>
    <xf numFmtId="0" fontId="5" fillId="0" borderId="31" xfId="48" applyFont="1" applyBorder="1" applyAlignment="1">
      <alignment horizontal="center" vertical="center" wrapText="1"/>
    </xf>
    <xf numFmtId="4" fontId="61" fillId="61" borderId="10" xfId="44" applyNumberFormat="1" applyFont="1" applyFill="1" applyBorder="1" applyAlignment="1">
      <alignment vertical="center"/>
    </xf>
    <xf numFmtId="4" fontId="61" fillId="61" borderId="11" xfId="44" applyNumberFormat="1" applyFont="1" applyFill="1" applyBorder="1" applyAlignment="1">
      <alignment vertical="center"/>
    </xf>
    <xf numFmtId="4" fontId="127" fillId="0" borderId="14" xfId="0" applyNumberFormat="1" applyFont="1" applyBorder="1"/>
    <xf numFmtId="4" fontId="127" fillId="0" borderId="14" xfId="0" applyNumberFormat="1" applyFont="1" applyFill="1" applyBorder="1"/>
    <xf numFmtId="0" fontId="127" fillId="0" borderId="14" xfId="0" applyFont="1" applyFill="1" applyBorder="1"/>
    <xf numFmtId="4" fontId="6" fillId="0" borderId="0" xfId="54" applyNumberFormat="1" applyFont="1" applyBorder="1"/>
    <xf numFmtId="4" fontId="127" fillId="0" borderId="0" xfId="0" applyNumberFormat="1" applyFont="1" applyBorder="1" applyAlignment="1">
      <alignment vertical="center"/>
    </xf>
    <xf numFmtId="0" fontId="9" fillId="0" borderId="0" xfId="54" applyFont="1" applyBorder="1"/>
    <xf numFmtId="4" fontId="9" fillId="0" borderId="0" xfId="54" applyNumberFormat="1" applyFont="1" applyBorder="1"/>
    <xf numFmtId="4" fontId="6" fillId="0" borderId="75" xfId="54" applyNumberFormat="1" applyFont="1" applyFill="1" applyBorder="1" applyAlignment="1">
      <alignment horizontal="center"/>
    </xf>
    <xf numFmtId="4" fontId="8" fillId="0" borderId="74" xfId="54" applyNumberFormat="1" applyFont="1" applyFill="1" applyBorder="1" applyAlignment="1">
      <alignment horizontal="center"/>
    </xf>
    <xf numFmtId="4" fontId="6" fillId="0" borderId="0" xfId="54" applyNumberFormat="1" applyFont="1" applyAlignment="1">
      <alignment horizontal="right" vertical="center"/>
    </xf>
    <xf numFmtId="0" fontId="158" fillId="0" borderId="0" xfId="0" applyFont="1"/>
    <xf numFmtId="169" fontId="9" fillId="0" borderId="0" xfId="54" applyNumberFormat="1" applyFont="1"/>
    <xf numFmtId="165" fontId="6" fillId="0" borderId="0" xfId="54" applyNumberFormat="1" applyFont="1"/>
    <xf numFmtId="4" fontId="6" fillId="0" borderId="44" xfId="54" applyNumberFormat="1" applyFont="1" applyFill="1" applyBorder="1" applyAlignment="1">
      <alignment horizontal="right"/>
    </xf>
    <xf numFmtId="4" fontId="127" fillId="0" borderId="0" xfId="0" applyNumberFormat="1" applyFont="1" applyBorder="1"/>
    <xf numFmtId="4" fontId="6" fillId="0" borderId="0" xfId="54" applyNumberFormat="1" applyFont="1" applyFill="1"/>
    <xf numFmtId="4" fontId="6" fillId="0" borderId="0" xfId="54" applyNumberFormat="1" applyFont="1" applyFill="1" applyBorder="1" applyAlignment="1">
      <alignment horizontal="right"/>
    </xf>
    <xf numFmtId="0" fontId="8" fillId="0" borderId="50" xfId="40" applyFont="1" applyBorder="1" applyAlignment="1">
      <alignment horizontal="center"/>
    </xf>
    <xf numFmtId="4" fontId="72" fillId="0" borderId="0" xfId="114" applyNumberFormat="1" applyFont="1" applyAlignment="1">
      <alignment vertical="center"/>
    </xf>
    <xf numFmtId="4" fontId="7" fillId="0" borderId="0" xfId="114" applyNumberFormat="1" applyFont="1"/>
    <xf numFmtId="4" fontId="92" fillId="0" borderId="0" xfId="114" applyNumberFormat="1" applyFont="1"/>
    <xf numFmtId="4" fontId="6" fillId="0" borderId="0" xfId="114" applyNumberFormat="1" applyFont="1"/>
    <xf numFmtId="49" fontId="62" fillId="0" borderId="0" xfId="114" applyNumberFormat="1" applyFont="1" applyAlignment="1">
      <alignment horizontal="right"/>
    </xf>
    <xf numFmtId="0" fontId="87" fillId="0" borderId="0" xfId="114" applyFont="1" applyAlignment="1">
      <alignment vertical="center"/>
    </xf>
    <xf numFmtId="0" fontId="5" fillId="0" borderId="0" xfId="114" applyAlignment="1">
      <alignment vertical="center"/>
    </xf>
    <xf numFmtId="4" fontId="92" fillId="0" borderId="0" xfId="114" applyNumberFormat="1" applyFont="1" applyAlignment="1">
      <alignment horizontal="right" vertical="center"/>
    </xf>
    <xf numFmtId="0" fontId="11" fillId="0" borderId="0" xfId="114" applyFont="1" applyAlignment="1">
      <alignment horizontal="right"/>
    </xf>
    <xf numFmtId="166" fontId="93" fillId="0" borderId="0" xfId="114" applyNumberFormat="1" applyFont="1" applyAlignment="1">
      <alignment horizontal="right" vertical="center"/>
    </xf>
    <xf numFmtId="166" fontId="93" fillId="0" borderId="0" xfId="114" applyNumberFormat="1" applyFont="1"/>
    <xf numFmtId="0" fontId="8" fillId="59" borderId="10" xfId="114" applyFont="1" applyFill="1" applyBorder="1" applyAlignment="1">
      <alignment horizontal="center" vertical="center" wrapText="1"/>
    </xf>
    <xf numFmtId="165" fontId="7" fillId="15" borderId="13" xfId="114" applyNumberFormat="1" applyFont="1" applyFill="1" applyBorder="1" applyAlignment="1">
      <alignment horizontal="right" vertical="center" wrapText="1"/>
    </xf>
    <xf numFmtId="165" fontId="7" fillId="57" borderId="13" xfId="114" applyNumberFormat="1" applyFont="1" applyFill="1" applyBorder="1" applyAlignment="1">
      <alignment horizontal="right" vertical="center" wrapText="1"/>
    </xf>
    <xf numFmtId="165" fontId="7" fillId="57" borderId="28" xfId="114" applyNumberFormat="1" applyFont="1" applyFill="1" applyBorder="1" applyAlignment="1">
      <alignment horizontal="right" vertical="center" wrapText="1"/>
    </xf>
    <xf numFmtId="165" fontId="7" fillId="57" borderId="34" xfId="114" applyNumberFormat="1" applyFont="1" applyFill="1" applyBorder="1" applyAlignment="1">
      <alignment horizontal="right" vertical="center" wrapText="1"/>
    </xf>
    <xf numFmtId="2" fontId="5" fillId="0" borderId="0" xfId="114" applyNumberFormat="1"/>
    <xf numFmtId="165" fontId="7" fillId="18" borderId="76" xfId="114" applyNumberFormat="1" applyFont="1" applyFill="1" applyBorder="1" applyAlignment="1">
      <alignment horizontal="center" vertical="center" wrapText="1"/>
    </xf>
    <xf numFmtId="165" fontId="7" fillId="18" borderId="49" xfId="114" applyNumberFormat="1" applyFont="1" applyFill="1" applyBorder="1" applyAlignment="1">
      <alignment horizontal="center" vertical="center" wrapText="1"/>
    </xf>
    <xf numFmtId="0" fontId="12" fillId="58" borderId="49" xfId="114" applyFont="1" applyFill="1" applyBorder="1" applyAlignment="1">
      <alignment vertical="center" wrapText="1"/>
    </xf>
    <xf numFmtId="0" fontId="12" fillId="58" borderId="77" xfId="114" applyFont="1" applyFill="1" applyBorder="1" applyAlignment="1">
      <alignment vertical="center" wrapText="1"/>
    </xf>
    <xf numFmtId="165" fontId="7" fillId="16" borderId="28" xfId="114" applyNumberFormat="1" applyFont="1" applyFill="1" applyBorder="1" applyAlignment="1">
      <alignment horizontal="right" vertical="center" wrapText="1"/>
    </xf>
    <xf numFmtId="165" fontId="6" fillId="18" borderId="16" xfId="114" applyNumberFormat="1" applyFont="1" applyFill="1" applyBorder="1" applyAlignment="1">
      <alignment horizontal="right" vertical="center" wrapText="1"/>
    </xf>
    <xf numFmtId="165" fontId="6" fillId="18" borderId="47" xfId="114" applyNumberFormat="1" applyFont="1" applyFill="1" applyBorder="1" applyAlignment="1">
      <alignment horizontal="right" vertical="center" wrapText="1"/>
    </xf>
    <xf numFmtId="0" fontId="5" fillId="58" borderId="47" xfId="114" applyFill="1" applyBorder="1" applyAlignment="1">
      <alignment vertical="center" wrapText="1"/>
    </xf>
    <xf numFmtId="0" fontId="5" fillId="58" borderId="75" xfId="114" applyFill="1" applyBorder="1" applyAlignment="1">
      <alignment vertical="center" wrapText="1"/>
    </xf>
    <xf numFmtId="165" fontId="6" fillId="0" borderId="35" xfId="114" applyNumberFormat="1" applyFont="1" applyBorder="1" applyAlignment="1">
      <alignment horizontal="right" vertical="center" wrapText="1"/>
    </xf>
    <xf numFmtId="165" fontId="6" fillId="0" borderId="70" xfId="114" applyNumberFormat="1" applyFont="1" applyBorder="1" applyAlignment="1">
      <alignment horizontal="right" vertical="center" wrapText="1"/>
    </xf>
    <xf numFmtId="165" fontId="6" fillId="0" borderId="15" xfId="114" applyNumberFormat="1" applyFont="1" applyBorder="1" applyAlignment="1">
      <alignment horizontal="right" vertical="center" wrapText="1"/>
    </xf>
    <xf numFmtId="165" fontId="6" fillId="0" borderId="14" xfId="114" applyNumberFormat="1" applyFont="1" applyBorder="1" applyAlignment="1">
      <alignment horizontal="right" vertical="center" wrapText="1"/>
    </xf>
    <xf numFmtId="165" fontId="6" fillId="0" borderId="36" xfId="114" applyNumberFormat="1" applyFont="1" applyBorder="1" applyAlignment="1">
      <alignment horizontal="right" vertical="center" wrapText="1"/>
    </xf>
    <xf numFmtId="165" fontId="6" fillId="0" borderId="66" xfId="114" applyNumberFormat="1" applyFont="1" applyBorder="1" applyAlignment="1">
      <alignment horizontal="right" vertical="center" wrapText="1"/>
    </xf>
    <xf numFmtId="165" fontId="5" fillId="0" borderId="14" xfId="114" applyNumberFormat="1" applyBorder="1" applyAlignment="1">
      <alignment vertical="center" wrapText="1"/>
    </xf>
    <xf numFmtId="165" fontId="5" fillId="0" borderId="39" xfId="114" applyNumberFormat="1" applyBorder="1" applyAlignment="1">
      <alignment vertical="center" wrapText="1"/>
    </xf>
    <xf numFmtId="4" fontId="6" fillId="0" borderId="14" xfId="114" applyNumberFormat="1" applyFont="1" applyBorder="1" applyAlignment="1">
      <alignment vertical="center"/>
    </xf>
    <xf numFmtId="0" fontId="6" fillId="0" borderId="14" xfId="114" applyFont="1" applyBorder="1" applyAlignment="1">
      <alignment vertical="center" wrapText="1"/>
    </xf>
    <xf numFmtId="165" fontId="6" fillId="0" borderId="39" xfId="114" applyNumberFormat="1" applyFont="1" applyBorder="1" applyAlignment="1">
      <alignment horizontal="right" vertical="center" wrapText="1"/>
    </xf>
    <xf numFmtId="165" fontId="6" fillId="0" borderId="38" xfId="114" applyNumberFormat="1" applyFont="1" applyBorder="1" applyAlignment="1">
      <alignment horizontal="right" vertical="center" wrapText="1"/>
    </xf>
    <xf numFmtId="165" fontId="7" fillId="19" borderId="13" xfId="114" applyNumberFormat="1" applyFont="1" applyFill="1" applyBorder="1" applyAlignment="1">
      <alignment horizontal="right" vertical="center" wrapText="1"/>
    </xf>
    <xf numFmtId="165" fontId="7" fillId="19" borderId="28" xfId="114" applyNumberFormat="1" applyFont="1" applyFill="1" applyBorder="1" applyAlignment="1">
      <alignment horizontal="right" vertical="center" wrapText="1"/>
    </xf>
    <xf numFmtId="165" fontId="5" fillId="58" borderId="47" xfId="114" applyNumberFormat="1" applyFill="1" applyBorder="1" applyAlignment="1">
      <alignment vertical="center" wrapText="1"/>
    </xf>
    <xf numFmtId="165" fontId="5" fillId="58" borderId="75" xfId="114" applyNumberFormat="1" applyFill="1" applyBorder="1" applyAlignment="1">
      <alignment vertical="center" wrapText="1"/>
    </xf>
    <xf numFmtId="169" fontId="6" fillId="0" borderId="0" xfId="114" applyNumberFormat="1" applyFont="1"/>
    <xf numFmtId="4" fontId="6" fillId="0" borderId="14" xfId="114" applyNumberFormat="1" applyFont="1" applyBorder="1" applyAlignment="1">
      <alignment horizontal="right" vertical="center" wrapText="1"/>
    </xf>
    <xf numFmtId="165" fontId="7" fillId="20" borderId="13" xfId="114" applyNumberFormat="1" applyFont="1" applyFill="1" applyBorder="1" applyAlignment="1">
      <alignment horizontal="right" vertical="center" wrapText="1"/>
    </xf>
    <xf numFmtId="165" fontId="7" fillId="20" borderId="19" xfId="114" applyNumberFormat="1" applyFont="1" applyFill="1" applyBorder="1" applyAlignment="1">
      <alignment horizontal="right" vertical="center" wrapText="1"/>
    </xf>
    <xf numFmtId="165" fontId="6" fillId="0" borderId="14" xfId="114" applyNumberFormat="1" applyFont="1" applyBorder="1" applyAlignment="1">
      <alignment vertical="center" wrapText="1"/>
    </xf>
    <xf numFmtId="165" fontId="6" fillId="0" borderId="39" xfId="114" applyNumberFormat="1" applyFont="1" applyBorder="1" applyAlignment="1">
      <alignment vertical="center" wrapText="1"/>
    </xf>
    <xf numFmtId="165" fontId="124" fillId="0" borderId="14" xfId="114" applyNumberFormat="1" applyFont="1" applyBorder="1" applyAlignment="1">
      <alignment vertical="center" wrapText="1"/>
    </xf>
    <xf numFmtId="4" fontId="12" fillId="0" borderId="0" xfId="114" applyNumberFormat="1" applyFont="1"/>
    <xf numFmtId="0" fontId="94" fillId="0" borderId="0" xfId="114" applyFont="1"/>
    <xf numFmtId="4" fontId="125" fillId="0" borderId="0" xfId="114" applyNumberFormat="1" applyFont="1"/>
    <xf numFmtId="165" fontId="95" fillId="0" borderId="0" xfId="114" applyNumberFormat="1" applyFont="1" applyAlignment="1">
      <alignment vertical="center" wrapText="1"/>
    </xf>
    <xf numFmtId="0" fontId="6" fillId="0" borderId="0" xfId="114" applyFont="1"/>
    <xf numFmtId="4" fontId="96" fillId="0" borderId="0" xfId="114" applyNumberFormat="1" applyFont="1"/>
    <xf numFmtId="0" fontId="6" fillId="0" borderId="0" xfId="116" applyFont="1" applyAlignment="1">
      <alignment horizontal="center" vertical="center" wrapText="1"/>
    </xf>
    <xf numFmtId="0" fontId="5" fillId="0" borderId="0" xfId="116" applyAlignment="1">
      <alignment vertical="center" wrapText="1"/>
    </xf>
    <xf numFmtId="4" fontId="131" fillId="0" borderId="0" xfId="114" applyNumberFormat="1" applyFont="1" applyAlignment="1">
      <alignment vertical="center" wrapText="1"/>
    </xf>
    <xf numFmtId="0" fontId="131" fillId="0" borderId="0" xfId="116" applyFont="1" applyAlignment="1">
      <alignment horizontal="center" vertical="center" wrapText="1"/>
    </xf>
    <xf numFmtId="0" fontId="6" fillId="0" borderId="0" xfId="116" applyFont="1" applyAlignment="1">
      <alignment vertical="center"/>
    </xf>
    <xf numFmtId="0" fontId="1" fillId="0" borderId="0" xfId="117"/>
    <xf numFmtId="0" fontId="156" fillId="63" borderId="12" xfId="117" applyFont="1" applyFill="1" applyBorder="1" applyAlignment="1">
      <alignment horizontal="center" vertical="center"/>
    </xf>
    <xf numFmtId="0" fontId="156" fillId="63" borderId="10" xfId="117" applyFont="1" applyFill="1" applyBorder="1" applyAlignment="1">
      <alignment horizontal="center" vertical="center"/>
    </xf>
    <xf numFmtId="0" fontId="156" fillId="63" borderId="10" xfId="117" applyFont="1" applyFill="1" applyBorder="1" applyAlignment="1">
      <alignment horizontal="center" vertical="center" wrapText="1"/>
    </xf>
    <xf numFmtId="0" fontId="156" fillId="63" borderId="11" xfId="117" applyFont="1" applyFill="1" applyBorder="1" applyAlignment="1">
      <alignment horizontal="center" vertical="center"/>
    </xf>
    <xf numFmtId="0" fontId="160" fillId="0" borderId="0" xfId="117" applyFont="1"/>
    <xf numFmtId="0" fontId="161" fillId="0" borderId="0" xfId="117" applyFont="1"/>
    <xf numFmtId="0" fontId="162" fillId="0" borderId="60" xfId="117" applyFont="1" applyBorder="1" applyAlignment="1">
      <alignment vertical="center" wrapText="1"/>
    </xf>
    <xf numFmtId="0" fontId="163" fillId="0" borderId="15" xfId="117" applyFont="1" applyBorder="1" applyAlignment="1">
      <alignment horizontal="center" vertical="center"/>
    </xf>
    <xf numFmtId="0" fontId="162" fillId="0" borderId="0" xfId="117" applyFont="1"/>
    <xf numFmtId="0" fontId="162" fillId="0" borderId="52" xfId="117" applyFont="1" applyBorder="1" applyAlignment="1">
      <alignment vertical="center" wrapText="1"/>
    </xf>
    <xf numFmtId="0" fontId="163" fillId="0" borderId="14" xfId="117" applyFont="1" applyBorder="1" applyAlignment="1">
      <alignment horizontal="center" vertical="center"/>
    </xf>
    <xf numFmtId="4" fontId="127" fillId="0" borderId="0" xfId="117" applyNumberFormat="1" applyFont="1" applyAlignment="1">
      <alignment vertical="center"/>
    </xf>
    <xf numFmtId="0" fontId="1" fillId="0" borderId="0" xfId="117" applyAlignment="1">
      <alignment vertical="center"/>
    </xf>
    <xf numFmtId="0" fontId="162" fillId="0" borderId="14" xfId="117" applyFont="1" applyBorder="1" applyAlignment="1">
      <alignment horizontal="center" vertical="center"/>
    </xf>
    <xf numFmtId="4" fontId="1" fillId="0" borderId="0" xfId="117" applyNumberFormat="1"/>
    <xf numFmtId="0" fontId="156" fillId="0" borderId="14" xfId="117" applyFont="1" applyBorder="1" applyAlignment="1">
      <alignment horizontal="center" vertical="center" wrapText="1"/>
    </xf>
    <xf numFmtId="0" fontId="15" fillId="0" borderId="14" xfId="117" applyFont="1" applyBorder="1" applyAlignment="1">
      <alignment horizontal="center" vertical="center"/>
    </xf>
    <xf numFmtId="0" fontId="15" fillId="0" borderId="52" xfId="117" applyFont="1" applyBorder="1" applyAlignment="1">
      <alignment vertical="center" wrapText="1"/>
    </xf>
    <xf numFmtId="0" fontId="156" fillId="0" borderId="14" xfId="117" applyFont="1" applyBorder="1" applyAlignment="1">
      <alignment horizontal="center" vertical="center"/>
    </xf>
    <xf numFmtId="0" fontId="15" fillId="0" borderId="0" xfId="117" applyFont="1"/>
    <xf numFmtId="0" fontId="15" fillId="0" borderId="82" xfId="117" applyFont="1" applyBorder="1" applyAlignment="1">
      <alignment vertical="center" wrapText="1"/>
    </xf>
    <xf numFmtId="0" fontId="156" fillId="0" borderId="36" xfId="117" applyFont="1" applyBorder="1" applyAlignment="1">
      <alignment horizontal="center" vertical="center"/>
    </xf>
    <xf numFmtId="0" fontId="156" fillId="0" borderId="36" xfId="117" applyFont="1" applyBorder="1" applyAlignment="1">
      <alignment horizontal="center" vertical="center" wrapText="1"/>
    </xf>
    <xf numFmtId="0" fontId="15" fillId="0" borderId="36" xfId="117" applyFont="1" applyBorder="1" applyAlignment="1">
      <alignment horizontal="center" vertical="center"/>
    </xf>
    <xf numFmtId="0" fontId="156" fillId="0" borderId="0" xfId="117" applyFont="1"/>
    <xf numFmtId="4" fontId="161" fillId="0" borderId="0" xfId="117" applyNumberFormat="1" applyFont="1"/>
    <xf numFmtId="0" fontId="15" fillId="0" borderId="15" xfId="117" applyFont="1" applyBorder="1" applyAlignment="1">
      <alignment horizontal="center" vertical="center"/>
    </xf>
    <xf numFmtId="0" fontId="15" fillId="0" borderId="52" xfId="117" applyFont="1" applyBorder="1" applyAlignment="1">
      <alignment horizontal="left" vertical="center" wrapText="1"/>
    </xf>
    <xf numFmtId="0" fontId="9" fillId="0" borderId="0" xfId="40" applyFill="1" applyBorder="1"/>
    <xf numFmtId="4" fontId="9" fillId="0" borderId="0" xfId="40" applyNumberFormat="1" applyFill="1" applyBorder="1"/>
    <xf numFmtId="4" fontId="165" fillId="0" borderId="0" xfId="0" applyNumberFormat="1" applyFont="1" applyFill="1" applyBorder="1" applyAlignment="1">
      <alignment horizontal="right" vertical="center" indent="1"/>
    </xf>
    <xf numFmtId="0" fontId="5" fillId="0" borderId="0" xfId="114" applyBorder="1"/>
    <xf numFmtId="0" fontId="93" fillId="0" borderId="0" xfId="114" applyFont="1" applyBorder="1"/>
    <xf numFmtId="0" fontId="8" fillId="59" borderId="11" xfId="114" applyFont="1" applyFill="1" applyBorder="1" applyAlignment="1">
      <alignment horizontal="center" vertical="center" wrapText="1"/>
    </xf>
    <xf numFmtId="4" fontId="5" fillId="0" borderId="0" xfId="114" applyNumberFormat="1" applyBorder="1"/>
    <xf numFmtId="2" fontId="5" fillId="0" borderId="0" xfId="114" applyNumberFormat="1" applyBorder="1"/>
    <xf numFmtId="169" fontId="6" fillId="0" borderId="0" xfId="114" applyNumberFormat="1" applyFont="1" applyBorder="1"/>
    <xf numFmtId="0" fontId="8" fillId="18" borderId="10" xfId="114" applyFont="1" applyFill="1" applyBorder="1" applyAlignment="1">
      <alignment horizontal="center" vertical="center" wrapText="1"/>
    </xf>
    <xf numFmtId="165" fontId="7" fillId="19" borderId="19" xfId="114" applyNumberFormat="1" applyFont="1" applyFill="1" applyBorder="1" applyAlignment="1">
      <alignment horizontal="right" vertical="center" wrapText="1"/>
    </xf>
    <xf numFmtId="49" fontId="11" fillId="0" borderId="0" xfId="40" applyNumberFormat="1" applyFont="1" applyAlignment="1">
      <alignment horizontal="right"/>
    </xf>
    <xf numFmtId="4" fontId="6" fillId="0" borderId="15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36" xfId="0" applyFont="1" applyBorder="1"/>
    <xf numFmtId="4" fontId="6" fillId="0" borderId="36" xfId="0" applyNumberFormat="1" applyFont="1" applyBorder="1"/>
    <xf numFmtId="4" fontId="6" fillId="0" borderId="15" xfId="0" applyNumberFormat="1" applyFont="1" applyBorder="1" applyAlignment="1">
      <alignment horizontal="right"/>
    </xf>
    <xf numFmtId="0" fontId="6" fillId="0" borderId="5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left"/>
    </xf>
    <xf numFmtId="4" fontId="6" fillId="0" borderId="33" xfId="0" applyNumberFormat="1" applyFont="1" applyBorder="1" applyAlignment="1">
      <alignment horizontal="right"/>
    </xf>
    <xf numFmtId="4" fontId="6" fillId="0" borderId="33" xfId="0" applyNumberFormat="1" applyFont="1" applyBorder="1"/>
    <xf numFmtId="4" fontId="6" fillId="0" borderId="14" xfId="0" applyNumberFormat="1" applyFont="1" applyBorder="1" applyAlignment="1">
      <alignment horizontal="right"/>
    </xf>
    <xf numFmtId="0" fontId="6" fillId="0" borderId="82" xfId="0" applyFont="1" applyBorder="1" applyAlignment="1">
      <alignment horizontal="center"/>
    </xf>
    <xf numFmtId="4" fontId="6" fillId="0" borderId="1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0" fontId="6" fillId="0" borderId="33" xfId="0" applyFont="1" applyBorder="1"/>
    <xf numFmtId="49" fontId="6" fillId="0" borderId="36" xfId="0" applyNumberFormat="1" applyFont="1" applyBorder="1" applyAlignment="1">
      <alignment horizontal="center"/>
    </xf>
    <xf numFmtId="0" fontId="5" fillId="0" borderId="0" xfId="43" applyFont="1"/>
    <xf numFmtId="4" fontId="7" fillId="0" borderId="10" xfId="0" applyNumberFormat="1" applyFont="1" applyBorder="1"/>
    <xf numFmtId="0" fontId="7" fillId="0" borderId="0" xfId="43" applyFont="1"/>
    <xf numFmtId="0" fontId="12" fillId="0" borderId="0" xfId="43" applyFont="1"/>
    <xf numFmtId="0" fontId="6" fillId="0" borderId="14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4" fontId="6" fillId="0" borderId="17" xfId="0" applyNumberFormat="1" applyFont="1" applyBorder="1" applyAlignment="1">
      <alignment horizontal="right"/>
    </xf>
    <xf numFmtId="0" fontId="6" fillId="0" borderId="31" xfId="43" applyFont="1" applyFill="1" applyBorder="1" applyAlignment="1">
      <alignment horizontal="center" vertical="center"/>
    </xf>
    <xf numFmtId="0" fontId="6" fillId="0" borderId="70" xfId="43" applyFont="1" applyFill="1" applyBorder="1" applyAlignment="1">
      <alignment horizontal="center" vertical="center"/>
    </xf>
    <xf numFmtId="4" fontId="6" fillId="0" borderId="35" xfId="43" applyNumberFormat="1" applyFont="1" applyFill="1" applyBorder="1" applyAlignment="1">
      <alignment horizontal="right" vertical="center"/>
    </xf>
    <xf numFmtId="4" fontId="6" fillId="0" borderId="38" xfId="43" applyNumberFormat="1" applyFont="1" applyFill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/>
    </xf>
    <xf numFmtId="0" fontId="7" fillId="0" borderId="40" xfId="43" applyFont="1" applyBorder="1" applyAlignment="1">
      <alignment horizontal="center"/>
    </xf>
    <xf numFmtId="4" fontId="7" fillId="0" borderId="27" xfId="43" applyNumberFormat="1" applyFont="1" applyFill="1" applyBorder="1"/>
    <xf numFmtId="4" fontId="7" fillId="0" borderId="27" xfId="43" applyNumberFormat="1" applyFont="1" applyBorder="1"/>
    <xf numFmtId="4" fontId="7" fillId="0" borderId="41" xfId="43" applyNumberFormat="1" applyFont="1" applyBorder="1"/>
    <xf numFmtId="0" fontId="6" fillId="0" borderId="15" xfId="43" applyFont="1" applyBorder="1" applyAlignment="1">
      <alignment horizontal="left"/>
    </xf>
    <xf numFmtId="4" fontId="6" fillId="0" borderId="38" xfId="0" applyNumberFormat="1" applyFont="1" applyBorder="1" applyAlignment="1">
      <alignment horizontal="right"/>
    </xf>
    <xf numFmtId="4" fontId="6" fillId="0" borderId="34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4" fontId="7" fillId="0" borderId="11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6" fillId="0" borderId="43" xfId="0" applyNumberFormat="1" applyFont="1" applyBorder="1" applyAlignment="1">
      <alignment horizontal="right"/>
    </xf>
    <xf numFmtId="0" fontId="6" fillId="0" borderId="27" xfId="43" applyFont="1" applyFill="1" applyBorder="1" applyAlignment="1">
      <alignment horizontal="left" vertical="center"/>
    </xf>
    <xf numFmtId="0" fontId="6" fillId="0" borderId="40" xfId="43" applyFont="1" applyBorder="1" applyAlignment="1">
      <alignment horizontal="center" vertical="center"/>
    </xf>
    <xf numFmtId="0" fontId="6" fillId="0" borderId="15" xfId="43" applyFont="1" applyFill="1" applyBorder="1" applyAlignment="1">
      <alignment horizontal="center" vertical="center"/>
    </xf>
    <xf numFmtId="0" fontId="6" fillId="0" borderId="62" xfId="43" applyFont="1" applyBorder="1" applyAlignment="1">
      <alignment horizontal="left" vertical="center" wrapText="1"/>
    </xf>
    <xf numFmtId="0" fontId="21" fillId="53" borderId="50" xfId="0" applyFont="1" applyFill="1" applyBorder="1" applyAlignment="1">
      <alignment horizontal="left"/>
    </xf>
    <xf numFmtId="0" fontId="6" fillId="0" borderId="17" xfId="43" applyFont="1" applyBorder="1"/>
    <xf numFmtId="0" fontId="167" fillId="0" borderId="14" xfId="114" applyFont="1" applyBorder="1"/>
    <xf numFmtId="4" fontId="12" fillId="0" borderId="80" xfId="0" applyNumberFormat="1" applyFont="1" applyFill="1" applyBorder="1" applyAlignment="1">
      <alignment horizontal="right"/>
    </xf>
    <xf numFmtId="0" fontId="87" fillId="0" borderId="0" xfId="0" applyFont="1" applyFill="1"/>
    <xf numFmtId="4" fontId="7" fillId="53" borderId="73" xfId="0" applyNumberFormat="1" applyFont="1" applyFill="1" applyBorder="1"/>
    <xf numFmtId="4" fontId="12" fillId="53" borderId="24" xfId="0" applyNumberFormat="1" applyFont="1" applyFill="1" applyBorder="1"/>
    <xf numFmtId="4" fontId="12" fillId="53" borderId="26" xfId="0" applyNumberFormat="1" applyFont="1" applyFill="1" applyBorder="1"/>
    <xf numFmtId="4" fontId="12" fillId="53" borderId="72" xfId="0" applyNumberFormat="1" applyFont="1" applyFill="1" applyBorder="1"/>
    <xf numFmtId="4" fontId="5" fillId="0" borderId="23" xfId="0" applyNumberFormat="1" applyFont="1" applyFill="1" applyBorder="1"/>
    <xf numFmtId="4" fontId="12" fillId="0" borderId="25" xfId="0" applyNumberFormat="1" applyFont="1" applyFill="1" applyBorder="1"/>
    <xf numFmtId="4" fontId="12" fillId="0" borderId="39" xfId="0" applyNumberFormat="1" applyFont="1" applyFill="1" applyBorder="1" applyAlignment="1">
      <alignment horizontal="right"/>
    </xf>
    <xf numFmtId="4" fontId="12" fillId="0" borderId="60" xfId="0" applyNumberFormat="1" applyFont="1" applyFill="1" applyBorder="1"/>
    <xf numFmtId="4" fontId="12" fillId="0" borderId="61" xfId="0" applyNumberFormat="1" applyFont="1" applyFill="1" applyBorder="1"/>
    <xf numFmtId="4" fontId="12" fillId="0" borderId="83" xfId="0" applyNumberFormat="1" applyFont="1" applyFill="1" applyBorder="1"/>
    <xf numFmtId="4" fontId="12" fillId="0" borderId="43" xfId="0" applyNumberFormat="1" applyFont="1" applyFill="1" applyBorder="1"/>
    <xf numFmtId="0" fontId="0" fillId="0" borderId="0" xfId="0" applyFill="1" applyBorder="1"/>
    <xf numFmtId="0" fontId="51" fillId="0" borderId="38" xfId="0" applyFont="1" applyFill="1" applyBorder="1"/>
    <xf numFmtId="4" fontId="12" fillId="53" borderId="19" xfId="0" applyNumberFormat="1" applyFont="1" applyFill="1" applyBorder="1"/>
    <xf numFmtId="4" fontId="12" fillId="0" borderId="59" xfId="0" applyNumberFormat="1" applyFont="1" applyFill="1" applyBorder="1"/>
    <xf numFmtId="4" fontId="12" fillId="0" borderId="34" xfId="0" applyNumberFormat="1" applyFont="1" applyFill="1" applyBorder="1"/>
    <xf numFmtId="4" fontId="12" fillId="53" borderId="41" xfId="0" applyNumberFormat="1" applyFont="1" applyFill="1" applyBorder="1"/>
    <xf numFmtId="4" fontId="7" fillId="53" borderId="53" xfId="0" applyNumberFormat="1" applyFont="1" applyFill="1" applyBorder="1"/>
    <xf numFmtId="0" fontId="51" fillId="0" borderId="41" xfId="0" applyFont="1" applyFill="1" applyBorder="1"/>
    <xf numFmtId="0" fontId="0" fillId="0" borderId="0" xfId="0" applyAlignment="1">
      <alignment horizontal="center" vertical="center"/>
    </xf>
    <xf numFmtId="4" fontId="12" fillId="0" borderId="42" xfId="0" applyNumberFormat="1" applyFont="1" applyBorder="1" applyAlignment="1"/>
    <xf numFmtId="4" fontId="12" fillId="0" borderId="54" xfId="0" applyNumberFormat="1" applyFont="1" applyFill="1" applyBorder="1"/>
    <xf numFmtId="4" fontId="12" fillId="53" borderId="20" xfId="0" applyNumberFormat="1" applyFont="1" applyFill="1" applyBorder="1"/>
    <xf numFmtId="4" fontId="7" fillId="53" borderId="24" xfId="0" applyNumberFormat="1" applyFont="1" applyFill="1" applyBorder="1"/>
    <xf numFmtId="0" fontId="12" fillId="0" borderId="58" xfId="0" applyFont="1" applyFill="1" applyBorder="1" applyAlignment="1">
      <alignment horizontal="center"/>
    </xf>
    <xf numFmtId="0" fontId="12" fillId="0" borderId="34" xfId="0" applyFont="1" applyFill="1" applyBorder="1"/>
    <xf numFmtId="0" fontId="12" fillId="0" borderId="42" xfId="0" applyFont="1" applyFill="1" applyBorder="1"/>
    <xf numFmtId="0" fontId="12" fillId="0" borderId="40" xfId="0" applyFont="1" applyFill="1" applyBorder="1" applyAlignment="1">
      <alignment horizontal="center"/>
    </xf>
    <xf numFmtId="0" fontId="12" fillId="0" borderId="41" xfId="0" applyFont="1" applyFill="1" applyBorder="1"/>
    <xf numFmtId="14" fontId="51" fillId="0" borderId="51" xfId="0" applyNumberFormat="1" applyFont="1" applyFill="1" applyBorder="1" applyAlignment="1">
      <alignment horizontal="center"/>
    </xf>
    <xf numFmtId="14" fontId="51" fillId="0" borderId="26" xfId="0" applyNumberFormat="1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51" xfId="0" applyNumberFormat="1" applyFont="1" applyFill="1" applyBorder="1"/>
    <xf numFmtId="4" fontId="12" fillId="0" borderId="17" xfId="0" applyNumberFormat="1" applyFont="1" applyFill="1" applyBorder="1"/>
    <xf numFmtId="4" fontId="12" fillId="53" borderId="57" xfId="0" applyNumberFormat="1" applyFont="1" applyFill="1" applyBorder="1"/>
    <xf numFmtId="4" fontId="12" fillId="53" borderId="28" xfId="0" applyNumberFormat="1" applyFont="1" applyFill="1" applyBorder="1"/>
    <xf numFmtId="4" fontId="47" fillId="0" borderId="86" xfId="0" applyNumberFormat="1" applyFont="1" applyFill="1" applyBorder="1"/>
    <xf numFmtId="4" fontId="47" fillId="0" borderId="19" xfId="0" applyNumberFormat="1" applyFont="1" applyFill="1" applyBorder="1"/>
    <xf numFmtId="4" fontId="47" fillId="0" borderId="49" xfId="0" applyNumberFormat="1" applyFont="1" applyFill="1" applyBorder="1"/>
    <xf numFmtId="4" fontId="47" fillId="0" borderId="43" xfId="0" applyNumberFormat="1" applyFont="1" applyFill="1" applyBorder="1"/>
    <xf numFmtId="4" fontId="7" fillId="53" borderId="54" xfId="0" applyNumberFormat="1" applyFont="1" applyFill="1" applyBorder="1"/>
    <xf numFmtId="4" fontId="7" fillId="53" borderId="70" xfId="0" applyNumberFormat="1" applyFont="1" applyFill="1" applyBorder="1"/>
    <xf numFmtId="4" fontId="7" fillId="53" borderId="42" xfId="0" applyNumberFormat="1" applyFont="1" applyFill="1" applyBorder="1"/>
    <xf numFmtId="4" fontId="12" fillId="53" borderId="12" xfId="0" applyNumberFormat="1" applyFont="1" applyFill="1" applyBorder="1"/>
    <xf numFmtId="4" fontId="12" fillId="53" borderId="10" xfId="0" applyNumberFormat="1" applyFont="1" applyFill="1" applyBorder="1"/>
    <xf numFmtId="0" fontId="51" fillId="0" borderId="16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51" fillId="0" borderId="38" xfId="0" applyFont="1" applyFill="1" applyBorder="1" applyAlignment="1">
      <alignment horizontal="center" vertical="center"/>
    </xf>
    <xf numFmtId="0" fontId="51" fillId="0" borderId="4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0" fontId="7" fillId="53" borderId="32" xfId="0" applyFont="1" applyFill="1" applyBorder="1" applyAlignment="1">
      <alignment horizontal="center" vertical="center"/>
    </xf>
    <xf numFmtId="0" fontId="51" fillId="0" borderId="39" xfId="0" applyFont="1" applyFill="1" applyBorder="1" applyAlignment="1">
      <alignment horizontal="center" vertical="center"/>
    </xf>
    <xf numFmtId="0" fontId="51" fillId="53" borderId="73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51" fillId="0" borderId="34" xfId="0" applyFont="1" applyFill="1" applyBorder="1" applyAlignment="1">
      <alignment horizontal="center" vertical="center"/>
    </xf>
    <xf numFmtId="0" fontId="51" fillId="0" borderId="37" xfId="0" applyFont="1" applyFill="1" applyBorder="1" applyAlignment="1">
      <alignment horizontal="center" vertical="center"/>
    </xf>
    <xf numFmtId="0" fontId="21" fillId="53" borderId="11" xfId="0" applyFont="1" applyFill="1" applyBorder="1" applyAlignment="1">
      <alignment horizontal="center" vertical="center"/>
    </xf>
    <xf numFmtId="0" fontId="51" fillId="52" borderId="73" xfId="0" applyFont="1" applyFill="1" applyBorder="1" applyAlignment="1">
      <alignment horizontal="center" vertical="center"/>
    </xf>
    <xf numFmtId="4" fontId="12" fillId="53" borderId="18" xfId="0" applyNumberFormat="1" applyFont="1" applyFill="1" applyBorder="1"/>
    <xf numFmtId="4" fontId="12" fillId="53" borderId="13" xfId="0" applyNumberFormat="1" applyFont="1" applyFill="1" applyBorder="1"/>
    <xf numFmtId="4" fontId="12" fillId="52" borderId="26" xfId="0" applyNumberFormat="1" applyFont="1" applyFill="1" applyBorder="1"/>
    <xf numFmtId="4" fontId="7" fillId="52" borderId="12" xfId="0" applyNumberFormat="1" applyFont="1" applyFill="1" applyBorder="1" applyAlignment="1">
      <alignment horizontal="right"/>
    </xf>
    <xf numFmtId="4" fontId="7" fillId="52" borderId="10" xfId="0" applyNumberFormat="1" applyFont="1" applyFill="1" applyBorder="1" applyAlignment="1">
      <alignment horizontal="right"/>
    </xf>
    <xf numFmtId="4" fontId="7" fillId="52" borderId="11" xfId="0" applyNumberFormat="1" applyFont="1" applyFill="1" applyBorder="1" applyAlignment="1">
      <alignment horizontal="right"/>
    </xf>
    <xf numFmtId="4" fontId="12" fillId="53" borderId="70" xfId="0" applyNumberFormat="1" applyFont="1" applyFill="1" applyBorder="1"/>
    <xf numFmtId="4" fontId="12" fillId="53" borderId="42" xfId="0" applyNumberFormat="1" applyFont="1" applyFill="1" applyBorder="1"/>
    <xf numFmtId="4" fontId="12" fillId="53" borderId="54" xfId="0" applyNumberFormat="1" applyFont="1" applyFill="1" applyBorder="1"/>
    <xf numFmtId="0" fontId="50" fillId="0" borderId="60" xfId="0" applyFont="1" applyFill="1" applyBorder="1" applyAlignment="1">
      <alignment horizontal="center" vertical="center" wrapText="1"/>
    </xf>
    <xf numFmtId="14" fontId="51" fillId="0" borderId="60" xfId="0" applyNumberFormat="1" applyFont="1" applyFill="1" applyBorder="1" applyAlignment="1">
      <alignment horizontal="center" vertical="center"/>
    </xf>
    <xf numFmtId="4" fontId="47" fillId="0" borderId="45" xfId="0" applyNumberFormat="1" applyFont="1" applyFill="1" applyBorder="1" applyAlignment="1">
      <alignment vertical="center"/>
    </xf>
    <xf numFmtId="4" fontId="47" fillId="0" borderId="62" xfId="0" applyNumberFormat="1" applyFont="1" applyFill="1" applyBorder="1" applyAlignment="1">
      <alignment vertical="center"/>
    </xf>
    <xf numFmtId="4" fontId="47" fillId="0" borderId="38" xfId="0" applyNumberFormat="1" applyFont="1" applyFill="1" applyBorder="1" applyAlignment="1">
      <alignment vertical="center"/>
    </xf>
    <xf numFmtId="4" fontId="12" fillId="53" borderId="56" xfId="0" applyNumberFormat="1" applyFont="1" applyFill="1" applyBorder="1" applyAlignment="1">
      <alignment horizontal="right"/>
    </xf>
    <xf numFmtId="4" fontId="12" fillId="53" borderId="73" xfId="0" applyNumberFormat="1" applyFont="1" applyFill="1" applyBorder="1"/>
    <xf numFmtId="4" fontId="12" fillId="53" borderId="23" xfId="0" applyNumberFormat="1" applyFont="1" applyFill="1" applyBorder="1" applyAlignment="1">
      <alignment horizontal="right"/>
    </xf>
    <xf numFmtId="4" fontId="12" fillId="53" borderId="67" xfId="0" applyNumberFormat="1" applyFont="1" applyFill="1" applyBorder="1" applyAlignment="1">
      <alignment horizontal="right"/>
    </xf>
    <xf numFmtId="4" fontId="12" fillId="53" borderId="16" xfId="0" applyNumberFormat="1" applyFont="1" applyFill="1" applyBorder="1" applyAlignment="1">
      <alignment horizontal="right"/>
    </xf>
    <xf numFmtId="0" fontId="12" fillId="0" borderId="82" xfId="0" applyFont="1" applyFill="1" applyBorder="1" applyAlignment="1">
      <alignment horizontal="center"/>
    </xf>
    <xf numFmtId="4" fontId="51" fillId="0" borderId="22" xfId="0" applyNumberFormat="1" applyFont="1" applyFill="1" applyBorder="1" applyAlignment="1">
      <alignment horizontal="right" vertical="center"/>
    </xf>
    <xf numFmtId="4" fontId="51" fillId="0" borderId="58" xfId="0" applyNumberFormat="1" applyFont="1" applyFill="1" applyBorder="1" applyAlignment="1">
      <alignment horizontal="right" vertical="center"/>
    </xf>
    <xf numFmtId="4" fontId="47" fillId="0" borderId="52" xfId="0" applyNumberFormat="1" applyFont="1" applyFill="1" applyBorder="1"/>
    <xf numFmtId="4" fontId="47" fillId="0" borderId="61" xfId="0" applyNumberFormat="1" applyFont="1" applyFill="1" applyBorder="1"/>
    <xf numFmtId="4" fontId="12" fillId="0" borderId="25" xfId="0" applyNumberFormat="1" applyFont="1" applyFill="1" applyBorder="1" applyAlignment="1">
      <alignment horizontal="right"/>
    </xf>
    <xf numFmtId="4" fontId="47" fillId="0" borderId="48" xfId="0" applyNumberFormat="1" applyFont="1" applyFill="1" applyBorder="1"/>
    <xf numFmtId="4" fontId="47" fillId="0" borderId="76" xfId="0" applyNumberFormat="1" applyFont="1" applyFill="1" applyBorder="1"/>
    <xf numFmtId="4" fontId="82" fillId="0" borderId="55" xfId="0" applyNumberFormat="1" applyFont="1" applyFill="1" applyBorder="1" applyAlignment="1">
      <alignment horizontal="right"/>
    </xf>
    <xf numFmtId="4" fontId="47" fillId="0" borderId="87" xfId="0" applyNumberFormat="1" applyFont="1" applyFill="1" applyBorder="1"/>
    <xf numFmtId="4" fontId="82" fillId="0" borderId="20" xfId="0" applyNumberFormat="1" applyFont="1" applyFill="1" applyBorder="1" applyAlignment="1">
      <alignment horizontal="right"/>
    </xf>
    <xf numFmtId="4" fontId="82" fillId="0" borderId="25" xfId="0" applyNumberFormat="1" applyFont="1" applyFill="1" applyBorder="1"/>
    <xf numFmtId="4" fontId="12" fillId="53" borderId="63" xfId="0" applyNumberFormat="1" applyFont="1" applyFill="1" applyBorder="1" applyAlignment="1">
      <alignment horizontal="right"/>
    </xf>
    <xf numFmtId="4" fontId="12" fillId="53" borderId="62" xfId="0" applyNumberFormat="1" applyFont="1" applyFill="1" applyBorder="1" applyAlignment="1">
      <alignment horizontal="right"/>
    </xf>
    <xf numFmtId="1" fontId="168" fillId="0" borderId="0" xfId="0" applyNumberFormat="1" applyFont="1" applyAlignment="1">
      <alignment horizontal="left" vertical="center"/>
    </xf>
    <xf numFmtId="1" fontId="168" fillId="0" borderId="0" xfId="0" applyNumberFormat="1" applyFont="1" applyFill="1" applyAlignment="1">
      <alignment horizontal="left" vertical="center"/>
    </xf>
    <xf numFmtId="1" fontId="168" fillId="0" borderId="0" xfId="0" applyNumberFormat="1" applyFont="1" applyBorder="1" applyAlignment="1">
      <alignment horizontal="left" vertical="center"/>
    </xf>
    <xf numFmtId="4" fontId="156" fillId="0" borderId="15" xfId="117" applyNumberFormat="1" applyFont="1" applyBorder="1" applyAlignment="1">
      <alignment horizontal="right" vertical="center"/>
    </xf>
    <xf numFmtId="4" fontId="15" fillId="0" borderId="15" xfId="117" applyNumberFormat="1" applyFont="1" applyBorder="1" applyAlignment="1">
      <alignment horizontal="right" vertical="center"/>
    </xf>
    <xf numFmtId="4" fontId="15" fillId="0" borderId="38" xfId="117" applyNumberFormat="1" applyFont="1" applyBorder="1" applyAlignment="1">
      <alignment horizontal="right" vertical="center"/>
    </xf>
    <xf numFmtId="0" fontId="156" fillId="0" borderId="14" xfId="117" applyFont="1" applyBorder="1" applyAlignment="1">
      <alignment horizontal="right" vertical="center"/>
    </xf>
    <xf numFmtId="4" fontId="156" fillId="0" borderId="14" xfId="117" applyNumberFormat="1" applyFont="1" applyBorder="1" applyAlignment="1">
      <alignment horizontal="right" vertical="center"/>
    </xf>
    <xf numFmtId="4" fontId="15" fillId="0" borderId="14" xfId="117" applyNumberFormat="1" applyFont="1" applyBorder="1" applyAlignment="1">
      <alignment horizontal="right" vertical="center"/>
    </xf>
    <xf numFmtId="4" fontId="15" fillId="0" borderId="39" xfId="117" applyNumberFormat="1" applyFont="1" applyBorder="1" applyAlignment="1">
      <alignment horizontal="right" vertical="center"/>
    </xf>
    <xf numFmtId="4" fontId="163" fillId="0" borderId="14" xfId="117" applyNumberFormat="1" applyFont="1" applyBorder="1" applyAlignment="1">
      <alignment horizontal="right" vertical="center"/>
    </xf>
    <xf numFmtId="4" fontId="162" fillId="0" borderId="39" xfId="117" applyNumberFormat="1" applyFont="1" applyBorder="1" applyAlignment="1">
      <alignment horizontal="right" vertical="center"/>
    </xf>
    <xf numFmtId="0" fontId="163" fillId="0" borderId="14" xfId="117" applyFont="1" applyBorder="1" applyAlignment="1">
      <alignment horizontal="right" vertical="center"/>
    </xf>
    <xf numFmtId="4" fontId="156" fillId="0" borderId="36" xfId="117" applyNumberFormat="1" applyFont="1" applyBorder="1" applyAlignment="1">
      <alignment horizontal="right" vertical="center"/>
    </xf>
    <xf numFmtId="4" fontId="15" fillId="0" borderId="37" xfId="117" applyNumberFormat="1" applyFont="1" applyBorder="1" applyAlignment="1">
      <alignment horizontal="right" vertical="center"/>
    </xf>
    <xf numFmtId="4" fontId="156" fillId="63" borderId="10" xfId="117" applyNumberFormat="1" applyFont="1" applyFill="1" applyBorder="1" applyAlignment="1">
      <alignment horizontal="right" vertical="center"/>
    </xf>
    <xf numFmtId="4" fontId="15" fillId="63" borderId="10" xfId="117" applyNumberFormat="1" applyFont="1" applyFill="1" applyBorder="1" applyAlignment="1">
      <alignment horizontal="right" vertical="center"/>
    </xf>
    <xf numFmtId="4" fontId="15" fillId="63" borderId="11" xfId="117" applyNumberFormat="1" applyFont="1" applyFill="1" applyBorder="1" applyAlignment="1">
      <alignment horizontal="right" vertical="center"/>
    </xf>
    <xf numFmtId="4" fontId="163" fillId="0" borderId="15" xfId="117" applyNumberFormat="1" applyFont="1" applyBorder="1" applyAlignment="1">
      <alignment horizontal="right" vertical="center"/>
    </xf>
    <xf numFmtId="4" fontId="163" fillId="0" borderId="36" xfId="117" applyNumberFormat="1" applyFont="1" applyBorder="1" applyAlignment="1">
      <alignment horizontal="right" vertical="center"/>
    </xf>
    <xf numFmtId="0" fontId="15" fillId="0" borderId="38" xfId="117" applyFont="1" applyBorder="1" applyAlignment="1">
      <alignment horizontal="center" vertical="center"/>
    </xf>
    <xf numFmtId="0" fontId="15" fillId="0" borderId="39" xfId="117" applyFont="1" applyBorder="1" applyAlignment="1">
      <alignment horizontal="center" vertical="center"/>
    </xf>
    <xf numFmtId="0" fontId="15" fillId="0" borderId="37" xfId="117" applyFont="1" applyBorder="1" applyAlignment="1">
      <alignment horizontal="center" vertical="center"/>
    </xf>
    <xf numFmtId="165" fontId="6" fillId="0" borderId="16" xfId="114" applyNumberFormat="1" applyFont="1" applyBorder="1" applyAlignment="1">
      <alignment horizontal="right" vertical="center" wrapText="1"/>
    </xf>
    <xf numFmtId="4" fontId="15" fillId="0" borderId="39" xfId="117" applyNumberFormat="1" applyFont="1" applyBorder="1" applyAlignment="1">
      <alignment horizontal="center" vertical="center"/>
    </xf>
    <xf numFmtId="49" fontId="11" fillId="0" borderId="0" xfId="40" applyNumberFormat="1" applyFont="1" applyFill="1" applyAlignment="1">
      <alignment horizontal="right"/>
    </xf>
    <xf numFmtId="0" fontId="102" fillId="0" borderId="0" xfId="53" applyFont="1" applyFill="1" applyAlignment="1">
      <alignment horizontal="center" vertical="center" wrapText="1"/>
    </xf>
    <xf numFmtId="14" fontId="11" fillId="0" borderId="0" xfId="40" applyNumberFormat="1" applyFont="1" applyFill="1" applyAlignment="1">
      <alignment horizontal="center"/>
    </xf>
    <xf numFmtId="171" fontId="11" fillId="0" borderId="0" xfId="53" applyNumberFormat="1" applyFont="1" applyFill="1" applyBorder="1" applyAlignment="1">
      <alignment horizontal="right" vertical="center"/>
    </xf>
    <xf numFmtId="169" fontId="11" fillId="0" borderId="0" xfId="0" applyNumberFormat="1" applyFont="1" applyFill="1" applyBorder="1" applyAlignment="1">
      <alignment vertical="center"/>
    </xf>
    <xf numFmtId="169" fontId="11" fillId="0" borderId="0" xfId="0" applyNumberFormat="1" applyFont="1" applyFill="1" applyBorder="1" applyAlignment="1">
      <alignment vertical="center" wrapText="1"/>
    </xf>
    <xf numFmtId="171" fontId="12" fillId="0" borderId="0" xfId="53" applyNumberFormat="1" applyFont="1" applyFill="1" applyBorder="1" applyAlignment="1">
      <alignment horizontal="right" vertical="center"/>
    </xf>
    <xf numFmtId="171" fontId="115" fillId="0" borderId="0" xfId="53" applyNumberFormat="1" applyFont="1" applyFill="1" applyBorder="1" applyAlignment="1">
      <alignment horizontal="right" vertical="center"/>
    </xf>
    <xf numFmtId="171" fontId="91" fillId="0" borderId="0" xfId="53" applyNumberFormat="1" applyFont="1" applyFill="1" applyBorder="1" applyAlignment="1">
      <alignment horizontal="right" vertical="center"/>
    </xf>
    <xf numFmtId="171" fontId="146" fillId="0" borderId="0" xfId="53" applyNumberFormat="1" applyFont="1" applyFill="1" applyBorder="1" applyAlignment="1">
      <alignment horizontal="right" vertical="center" wrapText="1"/>
    </xf>
    <xf numFmtId="0" fontId="12" fillId="0" borderId="0" xfId="53" applyFont="1" applyFill="1" applyAlignment="1">
      <alignment horizontal="left" vertical="center" wrapText="1"/>
    </xf>
    <xf numFmtId="170" fontId="7" fillId="0" borderId="0" xfId="53" applyNumberFormat="1" applyFont="1" applyFill="1" applyBorder="1" applyAlignment="1">
      <alignment horizontal="right" vertical="center"/>
    </xf>
    <xf numFmtId="171" fontId="110" fillId="0" borderId="0" xfId="53" applyNumberFormat="1" applyFont="1" applyFill="1" applyBorder="1" applyAlignment="1">
      <alignment horizontal="right" vertical="center"/>
    </xf>
    <xf numFmtId="170" fontId="12" fillId="0" borderId="0" xfId="53" applyNumberFormat="1" applyFont="1" applyFill="1" applyBorder="1" applyAlignment="1">
      <alignment horizontal="center" vertical="center" wrapText="1"/>
    </xf>
    <xf numFmtId="170" fontId="12" fillId="0" borderId="0" xfId="53" applyNumberFormat="1" applyFont="1" applyFill="1" applyBorder="1" applyAlignment="1">
      <alignment horizontal="right" vertical="center"/>
    </xf>
    <xf numFmtId="171" fontId="110" fillId="0" borderId="0" xfId="53" applyNumberFormat="1" applyFont="1" applyFill="1" applyBorder="1" applyAlignment="1">
      <alignment horizontal="right" vertical="center" wrapText="1"/>
    </xf>
    <xf numFmtId="171" fontId="116" fillId="0" borderId="0" xfId="53" applyNumberFormat="1" applyFont="1" applyFill="1" applyBorder="1" applyAlignment="1">
      <alignment vertical="center"/>
    </xf>
    <xf numFmtId="170" fontId="11" fillId="0" borderId="0" xfId="53" applyNumberFormat="1" applyFont="1" applyFill="1" applyBorder="1" applyAlignment="1">
      <alignment horizontal="right" vertical="center"/>
    </xf>
    <xf numFmtId="169" fontId="116" fillId="0" borderId="0" xfId="0" applyNumberFormat="1" applyFont="1" applyFill="1" applyBorder="1" applyAlignment="1">
      <alignment horizontal="right" vertical="center"/>
    </xf>
    <xf numFmtId="49" fontId="11" fillId="0" borderId="0" xfId="53" applyNumberFormat="1" applyFont="1" applyFill="1" applyBorder="1" applyAlignment="1">
      <alignment horizontal="right" vertical="center"/>
    </xf>
    <xf numFmtId="169" fontId="116" fillId="0" borderId="0" xfId="53" applyNumberFormat="1" applyFont="1" applyFill="1" applyBorder="1" applyAlignment="1">
      <alignment horizontal="right" vertical="center"/>
    </xf>
    <xf numFmtId="169" fontId="146" fillId="0" borderId="0" xfId="53" applyNumberFormat="1" applyFont="1" applyFill="1" applyBorder="1" applyAlignment="1">
      <alignment horizontal="right" vertical="center"/>
    </xf>
    <xf numFmtId="169" fontId="7" fillId="0" borderId="0" xfId="53" applyNumberFormat="1" applyFont="1" applyFill="1" applyAlignment="1">
      <alignment horizontal="right" vertical="center"/>
    </xf>
    <xf numFmtId="170" fontId="7" fillId="0" borderId="0" xfId="53" applyNumberFormat="1" applyFont="1" applyFill="1" applyAlignment="1">
      <alignment horizontal="right" vertical="center"/>
    </xf>
    <xf numFmtId="170" fontId="11" fillId="0" borderId="0" xfId="40" applyNumberFormat="1" applyFont="1" applyAlignment="1">
      <alignment horizontal="right"/>
    </xf>
    <xf numFmtId="170" fontId="11" fillId="0" borderId="0" xfId="40" applyNumberFormat="1" applyFont="1" applyAlignment="1">
      <alignment horizontal="center"/>
    </xf>
    <xf numFmtId="170" fontId="11" fillId="0" borderId="19" xfId="53" applyNumberFormat="1" applyFont="1" applyBorder="1" applyAlignment="1">
      <alignment horizontal="right" vertical="center"/>
    </xf>
    <xf numFmtId="170" fontId="11" fillId="0" borderId="34" xfId="0" applyNumberFormat="1" applyFont="1" applyBorder="1" applyAlignment="1">
      <alignment vertical="center"/>
    </xf>
    <xf numFmtId="170" fontId="11" fillId="0" borderId="43" xfId="0" applyNumberFormat="1" applyFont="1" applyBorder="1" applyAlignment="1">
      <alignment vertical="center"/>
    </xf>
    <xf numFmtId="170" fontId="11" fillId="0" borderId="11" xfId="0" applyNumberFormat="1" applyFont="1" applyBorder="1" applyAlignment="1">
      <alignment vertical="center" wrapText="1"/>
    </xf>
    <xf numFmtId="170" fontId="12" fillId="0" borderId="38" xfId="53" applyNumberFormat="1" applyFont="1" applyBorder="1" applyAlignment="1">
      <alignment horizontal="right" vertical="center"/>
    </xf>
    <xf numFmtId="170" fontId="115" fillId="0" borderId="39" xfId="53" applyNumberFormat="1" applyFont="1" applyBorder="1" applyAlignment="1">
      <alignment horizontal="right" vertical="center"/>
    </xf>
    <xf numFmtId="170" fontId="91" fillId="0" borderId="37" xfId="53" applyNumberFormat="1" applyFont="1" applyBorder="1" applyAlignment="1">
      <alignment horizontal="right" vertical="center"/>
    </xf>
    <xf numFmtId="170" fontId="146" fillId="18" borderId="11" xfId="53" applyNumberFormat="1" applyFont="1" applyFill="1" applyBorder="1" applyAlignment="1">
      <alignment horizontal="right" vertical="center" wrapText="1"/>
    </xf>
    <xf numFmtId="170" fontId="102" fillId="0" borderId="0" xfId="53" applyNumberFormat="1" applyFont="1" applyAlignment="1">
      <alignment horizontal="center" vertical="center" wrapText="1"/>
    </xf>
    <xf numFmtId="170" fontId="110" fillId="18" borderId="11" xfId="53" applyNumberFormat="1" applyFont="1" applyFill="1" applyBorder="1" applyAlignment="1">
      <alignment horizontal="right" vertical="center"/>
    </xf>
    <xf numFmtId="170" fontId="110" fillId="18" borderId="39" xfId="53" applyNumberFormat="1" applyFont="1" applyFill="1" applyBorder="1" applyAlignment="1">
      <alignment horizontal="right" vertical="center" wrapText="1"/>
    </xf>
    <xf numFmtId="170" fontId="7" fillId="18" borderId="39" xfId="53" applyNumberFormat="1" applyFont="1" applyFill="1" applyBorder="1" applyAlignment="1">
      <alignment horizontal="right" vertical="center"/>
    </xf>
    <xf numFmtId="170" fontId="115" fillId="0" borderId="11" xfId="53" applyNumberFormat="1" applyFont="1" applyBorder="1" applyAlignment="1">
      <alignment horizontal="right" vertical="center"/>
    </xf>
    <xf numFmtId="170" fontId="116" fillId="0" borderId="34" xfId="53" applyNumberFormat="1" applyFont="1" applyBorder="1" applyAlignment="1">
      <alignment vertical="center"/>
    </xf>
    <xf numFmtId="170" fontId="116" fillId="0" borderId="38" xfId="53" applyNumberFormat="1" applyFont="1" applyBorder="1" applyAlignment="1">
      <alignment vertical="center"/>
    </xf>
    <xf numFmtId="170" fontId="116" fillId="0" borderId="41" xfId="53" applyNumberFormat="1" applyFont="1" applyBorder="1" applyAlignment="1">
      <alignment vertical="center"/>
    </xf>
    <xf numFmtId="170" fontId="116" fillId="0" borderId="39" xfId="0" applyNumberFormat="1" applyFont="1" applyBorder="1" applyAlignment="1">
      <alignment horizontal="right" vertical="center"/>
    </xf>
    <xf numFmtId="170" fontId="116" fillId="0" borderId="38" xfId="0" applyNumberFormat="1" applyFont="1" applyBorder="1" applyAlignment="1">
      <alignment horizontal="right" vertical="center"/>
    </xf>
    <xf numFmtId="170" fontId="116" fillId="0" borderId="39" xfId="53" applyNumberFormat="1" applyFont="1" applyBorder="1" applyAlignment="1">
      <alignment vertical="center"/>
    </xf>
    <xf numFmtId="170" fontId="116" fillId="0" borderId="38" xfId="53" applyNumberFormat="1" applyFont="1" applyBorder="1" applyAlignment="1">
      <alignment horizontal="right" vertical="center"/>
    </xf>
    <xf numFmtId="170" fontId="146" fillId="59" borderId="11" xfId="53" applyNumberFormat="1" applyFont="1" applyFill="1" applyBorder="1" applyAlignment="1">
      <alignment horizontal="right" vertical="center"/>
    </xf>
    <xf numFmtId="170" fontId="0" fillId="0" borderId="0" xfId="0" applyNumberFormat="1"/>
    <xf numFmtId="4" fontId="6" fillId="0" borderId="0" xfId="0" applyNumberFormat="1" applyFont="1" applyFill="1" applyBorder="1"/>
    <xf numFmtId="14" fontId="51" fillId="0" borderId="82" xfId="0" applyNumberFormat="1" applyFont="1" applyFill="1" applyBorder="1" applyAlignment="1">
      <alignment horizontal="center"/>
    </xf>
    <xf numFmtId="165" fontId="7" fillId="16" borderId="19" xfId="114" applyNumberFormat="1" applyFont="1" applyFill="1" applyBorder="1" applyAlignment="1">
      <alignment horizontal="right" vertical="center" wrapText="1"/>
    </xf>
    <xf numFmtId="165" fontId="5" fillId="0" borderId="17" xfId="114" applyNumberFormat="1" applyBorder="1"/>
    <xf numFmtId="165" fontId="6" fillId="0" borderId="17" xfId="114" applyNumberFormat="1" applyFont="1" applyBorder="1"/>
    <xf numFmtId="165" fontId="6" fillId="0" borderId="17" xfId="114" applyNumberFormat="1" applyFont="1" applyBorder="1" applyAlignment="1">
      <alignment vertical="center"/>
    </xf>
    <xf numFmtId="165" fontId="6" fillId="0" borderId="43" xfId="114" applyNumberFormat="1" applyFont="1" applyBorder="1" applyAlignment="1">
      <alignment vertical="center"/>
    </xf>
    <xf numFmtId="165" fontId="5" fillId="0" borderId="17" xfId="114" applyNumberFormat="1" applyFill="1" applyBorder="1" applyAlignment="1">
      <alignment vertical="center"/>
    </xf>
    <xf numFmtId="165" fontId="94" fillId="0" borderId="87" xfId="114" applyNumberFormat="1" applyFont="1" applyFill="1" applyBorder="1" applyAlignment="1">
      <alignment vertical="center" wrapText="1"/>
    </xf>
    <xf numFmtId="165" fontId="6" fillId="0" borderId="17" xfId="114" applyNumberFormat="1" applyFont="1" applyFill="1" applyBorder="1" applyAlignment="1">
      <alignment vertical="center"/>
    </xf>
    <xf numFmtId="165" fontId="6" fillId="0" borderId="43" xfId="114" applyNumberFormat="1" applyFont="1" applyFill="1" applyBorder="1" applyAlignment="1">
      <alignment vertical="center"/>
    </xf>
    <xf numFmtId="165" fontId="6" fillId="0" borderId="17" xfId="114" applyNumberFormat="1" applyFont="1" applyFill="1" applyBorder="1"/>
    <xf numFmtId="165" fontId="6" fillId="0" borderId="87" xfId="114" applyNumberFormat="1" applyFont="1" applyFill="1" applyBorder="1" applyAlignment="1">
      <alignment vertical="center" wrapText="1"/>
    </xf>
    <xf numFmtId="165" fontId="6" fillId="0" borderId="43" xfId="114" applyNumberFormat="1" applyFont="1" applyFill="1" applyBorder="1" applyAlignment="1">
      <alignment horizontal="right" vertical="center"/>
    </xf>
    <xf numFmtId="0" fontId="7" fillId="0" borderId="0" xfId="53" applyFont="1" applyBorder="1" applyAlignment="1">
      <alignment vertical="center" wrapText="1"/>
    </xf>
    <xf numFmtId="170" fontId="116" fillId="0" borderId="0" xfId="53" applyNumberFormat="1" applyFont="1" applyBorder="1" applyAlignment="1">
      <alignment vertical="center"/>
    </xf>
    <xf numFmtId="0" fontId="86" fillId="0" borderId="0" xfId="0" applyFont="1" applyFill="1"/>
    <xf numFmtId="4" fontId="6" fillId="0" borderId="0" xfId="54" applyNumberFormat="1" applyFont="1" applyAlignment="1">
      <alignment horizontal="right"/>
    </xf>
    <xf numFmtId="4" fontId="127" fillId="0" borderId="14" xfId="0" applyNumberFormat="1" applyFont="1" applyFill="1" applyBorder="1" applyAlignment="1">
      <alignment vertical="center"/>
    </xf>
    <xf numFmtId="4" fontId="89" fillId="0" borderId="14" xfId="0" applyNumberFormat="1" applyFont="1" applyFill="1" applyBorder="1" applyAlignment="1">
      <alignment vertical="center"/>
    </xf>
    <xf numFmtId="0" fontId="6" fillId="0" borderId="49" xfId="54" applyFont="1" applyFill="1" applyBorder="1" applyAlignment="1"/>
    <xf numFmtId="4" fontId="6" fillId="0" borderId="52" xfId="54" applyNumberFormat="1" applyFont="1" applyFill="1" applyBorder="1" applyAlignment="1">
      <alignment horizontal="right" vertical="center"/>
    </xf>
    <xf numFmtId="4" fontId="6" fillId="0" borderId="39" xfId="54" applyNumberFormat="1" applyFont="1" applyFill="1" applyBorder="1" applyAlignment="1">
      <alignment horizontal="right" vertical="center"/>
    </xf>
    <xf numFmtId="4" fontId="6" fillId="0" borderId="14" xfId="54" applyNumberFormat="1" applyFont="1" applyBorder="1" applyAlignment="1">
      <alignment horizontal="center"/>
    </xf>
    <xf numFmtId="4" fontId="8" fillId="0" borderId="44" xfId="54" applyNumberFormat="1" applyFont="1" applyFill="1" applyBorder="1" applyAlignment="1">
      <alignment horizontal="right"/>
    </xf>
    <xf numFmtId="0" fontId="6" fillId="0" borderId="58" xfId="54" applyFont="1" applyFill="1" applyBorder="1"/>
    <xf numFmtId="4" fontId="8" fillId="0" borderId="33" xfId="54" applyNumberFormat="1" applyFont="1" applyFill="1" applyBorder="1"/>
    <xf numFmtId="4" fontId="6" fillId="0" borderId="39" xfId="54" applyNumberFormat="1" applyFont="1" applyFill="1" applyBorder="1" applyAlignment="1">
      <alignment horizontal="right"/>
    </xf>
    <xf numFmtId="4" fontId="6" fillId="0" borderId="39" xfId="54" applyNumberFormat="1" applyFont="1" applyFill="1" applyBorder="1" applyAlignment="1">
      <alignment horizontal="center"/>
    </xf>
    <xf numFmtId="4" fontId="6" fillId="0" borderId="77" xfId="54" applyNumberFormat="1" applyFont="1" applyFill="1" applyBorder="1" applyAlignment="1">
      <alignment horizontal="center"/>
    </xf>
    <xf numFmtId="4" fontId="6" fillId="0" borderId="52" xfId="54" applyNumberFormat="1" applyFont="1" applyFill="1" applyBorder="1" applyAlignment="1">
      <alignment horizontal="right"/>
    </xf>
    <xf numFmtId="4" fontId="6" fillId="0" borderId="0" xfId="54" applyNumberFormat="1" applyFont="1" applyFill="1" applyBorder="1"/>
    <xf numFmtId="4" fontId="83" fillId="0" borderId="0" xfId="0" applyNumberFormat="1" applyFont="1" applyFill="1" applyBorder="1"/>
    <xf numFmtId="0" fontId="6" fillId="0" borderId="14" xfId="114" applyFont="1" applyBorder="1" applyAlignment="1">
      <alignment horizontal="left" vertical="center" wrapText="1"/>
    </xf>
    <xf numFmtId="0" fontId="6" fillId="0" borderId="14" xfId="114" applyFont="1" applyBorder="1" applyAlignment="1">
      <alignment horizontal="left" vertical="center"/>
    </xf>
    <xf numFmtId="0" fontId="6" fillId="0" borderId="17" xfId="114" applyFont="1" applyBorder="1" applyAlignment="1">
      <alignment horizontal="left" vertical="center" wrapText="1"/>
    </xf>
    <xf numFmtId="0" fontId="6" fillId="0" borderId="15" xfId="114" applyFont="1" applyBorder="1" applyAlignment="1">
      <alignment horizontal="left" vertical="center" wrapText="1"/>
    </xf>
    <xf numFmtId="4" fontId="12" fillId="0" borderId="56" xfId="0" applyNumberFormat="1" applyFont="1" applyFill="1" applyBorder="1" applyAlignment="1">
      <alignment horizontal="right" vertical="center"/>
    </xf>
    <xf numFmtId="4" fontId="122" fillId="0" borderId="0" xfId="54" applyNumberFormat="1" applyFont="1"/>
    <xf numFmtId="0" fontId="9" fillId="0" borderId="0" xfId="54" applyFont="1" applyFill="1"/>
    <xf numFmtId="169" fontId="8" fillId="0" borderId="0" xfId="54" applyNumberFormat="1" applyFont="1" applyFill="1"/>
    <xf numFmtId="4" fontId="9" fillId="0" borderId="0" xfId="54" applyNumberFormat="1" applyFont="1" applyFill="1"/>
    <xf numFmtId="4" fontId="87" fillId="0" borderId="0" xfId="54" applyNumberFormat="1" applyFont="1" applyFill="1"/>
    <xf numFmtId="0" fontId="9" fillId="0" borderId="0" xfId="54" applyFont="1" applyFill="1" applyBorder="1"/>
    <xf numFmtId="4" fontId="8" fillId="0" borderId="0" xfId="54" applyNumberFormat="1" applyFont="1" applyFill="1" applyAlignment="1">
      <alignment vertical="center"/>
    </xf>
    <xf numFmtId="4" fontId="9" fillId="0" borderId="0" xfId="54" applyNumberFormat="1" applyFont="1" applyFill="1" applyBorder="1"/>
    <xf numFmtId="4" fontId="169" fillId="0" borderId="0" xfId="0" applyNumberFormat="1" applyFont="1" applyFill="1" applyBorder="1"/>
    <xf numFmtId="169" fontId="169" fillId="0" borderId="0" xfId="0" applyNumberFormat="1" applyFont="1" applyFill="1" applyBorder="1"/>
    <xf numFmtId="0" fontId="5" fillId="0" borderId="0" xfId="54" applyFont="1" applyFill="1" applyBorder="1"/>
    <xf numFmtId="169" fontId="6" fillId="0" borderId="0" xfId="54" applyNumberFormat="1" applyFont="1" applyFill="1" applyBorder="1"/>
    <xf numFmtId="4" fontId="5" fillId="0" borderId="0" xfId="54" applyNumberFormat="1" applyFont="1" applyFill="1" applyBorder="1"/>
    <xf numFmtId="4" fontId="83" fillId="0" borderId="0" xfId="0" applyNumberFormat="1" applyFont="1" applyFill="1" applyBorder="1" applyAlignment="1">
      <alignment vertical="center"/>
    </xf>
    <xf numFmtId="4" fontId="6" fillId="0" borderId="0" xfId="54" applyNumberFormat="1" applyFont="1" applyFill="1" applyAlignment="1">
      <alignment horizontal="right"/>
    </xf>
    <xf numFmtId="0" fontId="87" fillId="0" borderId="0" xfId="43" applyFont="1"/>
    <xf numFmtId="0" fontId="10" fillId="0" borderId="0" xfId="114" applyFont="1" applyAlignment="1">
      <alignment horizontal="center"/>
    </xf>
    <xf numFmtId="4" fontId="6" fillId="0" borderId="39" xfId="54" applyNumberFormat="1" applyFont="1" applyFill="1" applyBorder="1" applyAlignment="1">
      <alignment horizontal="center" vertical="center"/>
    </xf>
    <xf numFmtId="4" fontId="11" fillId="0" borderId="11" xfId="54" applyNumberFormat="1" applyFont="1" applyFill="1" applyBorder="1" applyAlignment="1">
      <alignment horizontal="center" vertical="center"/>
    </xf>
    <xf numFmtId="4" fontId="6" fillId="0" borderId="41" xfId="54" applyNumberFormat="1" applyFont="1" applyFill="1" applyBorder="1" applyAlignment="1">
      <alignment horizontal="center" vertical="center"/>
    </xf>
    <xf numFmtId="4" fontId="126" fillId="0" borderId="14" xfId="0" applyNumberFormat="1" applyFont="1" applyBorder="1" applyAlignment="1">
      <alignment vertical="center"/>
    </xf>
    <xf numFmtId="4" fontId="122" fillId="0" borderId="0" xfId="0" applyNumberFormat="1" applyFont="1" applyFill="1" applyAlignment="1">
      <alignment vertical="center"/>
    </xf>
    <xf numFmtId="0" fontId="122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9" fontId="11" fillId="0" borderId="0" xfId="114" applyNumberFormat="1" applyFont="1" applyAlignment="1">
      <alignment horizontal="right" vertical="center"/>
    </xf>
    <xf numFmtId="49" fontId="5" fillId="0" borderId="0" xfId="114" applyNumberFormat="1" applyAlignment="1">
      <alignment horizontal="right" vertical="center"/>
    </xf>
    <xf numFmtId="0" fontId="8" fillId="0" borderId="10" xfId="114" applyFont="1" applyBorder="1" applyAlignment="1">
      <alignment horizontal="center" vertical="center" wrapText="1"/>
    </xf>
    <xf numFmtId="0" fontId="8" fillId="0" borderId="11" xfId="114" applyFont="1" applyBorder="1" applyAlignment="1">
      <alignment horizontal="center" wrapText="1"/>
    </xf>
    <xf numFmtId="0" fontId="6" fillId="0" borderId="44" xfId="114" applyFont="1" applyBorder="1" applyAlignment="1">
      <alignment vertical="center"/>
    </xf>
    <xf numFmtId="49" fontId="6" fillId="0" borderId="45" xfId="114" applyNumberFormat="1" applyFont="1" applyBorder="1" applyAlignment="1">
      <alignment vertical="center"/>
    </xf>
    <xf numFmtId="49" fontId="6" fillId="0" borderId="63" xfId="114" applyNumberFormat="1" applyFont="1" applyBorder="1" applyAlignment="1">
      <alignment horizontal="center" vertical="center" wrapText="1"/>
    </xf>
    <xf numFmtId="14" fontId="6" fillId="0" borderId="15" xfId="114" applyNumberFormat="1" applyFont="1" applyBorder="1" applyAlignment="1">
      <alignment horizontal="right" vertical="center" wrapText="1"/>
    </xf>
    <xf numFmtId="0" fontId="6" fillId="0" borderId="15" xfId="114" applyFont="1" applyBorder="1" applyAlignment="1">
      <alignment horizontal="right" vertical="center" wrapText="1"/>
    </xf>
    <xf numFmtId="4" fontId="6" fillId="0" borderId="15" xfId="114" applyNumberFormat="1" applyFont="1" applyBorder="1" applyAlignment="1">
      <alignment horizontal="right" vertical="center" wrapText="1"/>
    </xf>
    <xf numFmtId="0" fontId="6" fillId="0" borderId="0" xfId="114" applyFont="1" applyAlignment="1">
      <alignment vertical="center"/>
    </xf>
    <xf numFmtId="0" fontId="6" fillId="0" borderId="46" xfId="114" applyFont="1" applyBorder="1" applyAlignment="1">
      <alignment vertical="center"/>
    </xf>
    <xf numFmtId="49" fontId="6" fillId="0" borderId="47" xfId="114" applyNumberFormat="1" applyFont="1" applyBorder="1" applyAlignment="1">
      <alignment vertical="center"/>
    </xf>
    <xf numFmtId="0" fontId="6" fillId="0" borderId="14" xfId="114" applyFont="1" applyBorder="1" applyAlignment="1">
      <alignment vertical="center"/>
    </xf>
    <xf numFmtId="0" fontId="6" fillId="0" borderId="14" xfId="114" applyFont="1" applyBorder="1" applyAlignment="1">
      <alignment horizontal="right" vertical="center" wrapText="1"/>
    </xf>
    <xf numFmtId="4" fontId="6" fillId="0" borderId="14" xfId="114" applyNumberFormat="1" applyFont="1" applyBorder="1" applyAlignment="1">
      <alignment horizontal="right" vertical="center"/>
    </xf>
    <xf numFmtId="0" fontId="6" fillId="0" borderId="14" xfId="114" applyFont="1" applyBorder="1" applyAlignment="1">
      <alignment horizontal="right" vertical="center"/>
    </xf>
    <xf numFmtId="14" fontId="6" fillId="0" borderId="14" xfId="114" applyNumberFormat="1" applyFont="1" applyBorder="1" applyAlignment="1">
      <alignment horizontal="right" vertical="center" wrapText="1"/>
    </xf>
    <xf numFmtId="0" fontId="6" fillId="0" borderId="15" xfId="114" applyFont="1" applyBorder="1" applyAlignment="1">
      <alignment vertical="center" wrapText="1"/>
    </xf>
    <xf numFmtId="0" fontId="6" fillId="0" borderId="15" xfId="114" applyFont="1" applyBorder="1" applyAlignment="1">
      <alignment horizontal="right" vertical="center"/>
    </xf>
    <xf numFmtId="4" fontId="6" fillId="0" borderId="15" xfId="114" applyNumberFormat="1" applyFont="1" applyBorder="1" applyAlignment="1">
      <alignment horizontal="right" vertical="center"/>
    </xf>
    <xf numFmtId="49" fontId="6" fillId="0" borderId="67" xfId="114" applyNumberFormat="1" applyFont="1" applyBorder="1" applyAlignment="1">
      <alignment horizontal="center" vertical="center" wrapText="1"/>
    </xf>
    <xf numFmtId="0" fontId="6" fillId="0" borderId="48" xfId="114" applyFont="1" applyBorder="1" applyAlignment="1">
      <alignment vertical="center"/>
    </xf>
    <xf numFmtId="49" fontId="6" fillId="0" borderId="49" xfId="114" applyNumberFormat="1" applyFont="1" applyBorder="1" applyAlignment="1">
      <alignment vertical="center"/>
    </xf>
    <xf numFmtId="49" fontId="6" fillId="0" borderId="87" xfId="114" applyNumberFormat="1" applyFont="1" applyBorder="1" applyAlignment="1">
      <alignment horizontal="center" vertical="center" wrapText="1"/>
    </xf>
    <xf numFmtId="14" fontId="6" fillId="0" borderId="17" xfId="114" applyNumberFormat="1" applyFont="1" applyBorder="1" applyAlignment="1">
      <alignment horizontal="right" vertical="center" wrapText="1"/>
    </xf>
    <xf numFmtId="0" fontId="6" fillId="0" borderId="17" xfId="114" applyFont="1" applyBorder="1" applyAlignment="1">
      <alignment horizontal="right" vertical="center"/>
    </xf>
    <xf numFmtId="4" fontId="6" fillId="0" borderId="17" xfId="114" applyNumberFormat="1" applyFont="1" applyBorder="1" applyAlignment="1">
      <alignment horizontal="right" vertical="center"/>
    </xf>
    <xf numFmtId="49" fontId="6" fillId="0" borderId="0" xfId="114" applyNumberFormat="1" applyFont="1" applyAlignment="1">
      <alignment vertical="center"/>
    </xf>
    <xf numFmtId="49" fontId="6" fillId="0" borderId="0" xfId="114" applyNumberFormat="1" applyFont="1" applyAlignment="1">
      <alignment horizontal="center" vertical="center" wrapText="1"/>
    </xf>
    <xf numFmtId="14" fontId="6" fillId="0" borderId="0" xfId="114" applyNumberFormat="1" applyFont="1" applyAlignment="1">
      <alignment horizontal="right" vertical="center" wrapText="1"/>
    </xf>
    <xf numFmtId="0" fontId="6" fillId="0" borderId="0" xfId="114" applyFont="1" applyAlignment="1">
      <alignment horizontal="right" vertical="center"/>
    </xf>
    <xf numFmtId="4" fontId="6" fillId="0" borderId="0" xfId="114" applyNumberFormat="1" applyFont="1" applyAlignment="1">
      <alignment horizontal="right" vertical="center"/>
    </xf>
    <xf numFmtId="49" fontId="6" fillId="0" borderId="0" xfId="114" applyNumberFormat="1" applyFont="1" applyAlignment="1">
      <alignment horizontal="right" vertical="center"/>
    </xf>
    <xf numFmtId="0" fontId="8" fillId="0" borderId="11" xfId="114" applyFont="1" applyBorder="1" applyAlignment="1">
      <alignment horizontal="center" vertical="center" wrapText="1"/>
    </xf>
    <xf numFmtId="0" fontId="6" fillId="54" borderId="46" xfId="114" applyFont="1" applyFill="1" applyBorder="1" applyAlignment="1">
      <alignment vertical="center"/>
    </xf>
    <xf numFmtId="49" fontId="6" fillId="54" borderId="47" xfId="114" applyNumberFormat="1" applyFont="1" applyFill="1" applyBorder="1" applyAlignment="1">
      <alignment vertical="center"/>
    </xf>
    <xf numFmtId="0" fontId="6" fillId="54" borderId="44" xfId="114" applyFont="1" applyFill="1" applyBorder="1" applyAlignment="1">
      <alignment vertical="center"/>
    </xf>
    <xf numFmtId="49" fontId="6" fillId="0" borderId="84" xfId="114" applyNumberFormat="1" applyFont="1" applyBorder="1" applyAlignment="1">
      <alignment horizontal="center" vertical="center" wrapText="1"/>
    </xf>
    <xf numFmtId="0" fontId="6" fillId="0" borderId="17" xfId="114" applyFont="1" applyBorder="1" applyAlignment="1">
      <alignment vertical="center" wrapText="1"/>
    </xf>
    <xf numFmtId="0" fontId="6" fillId="0" borderId="0" xfId="114" applyFont="1" applyAlignment="1">
      <alignment vertical="center" wrapText="1"/>
    </xf>
    <xf numFmtId="49" fontId="6" fillId="0" borderId="0" xfId="114" applyNumberFormat="1" applyFont="1" applyAlignment="1">
      <alignment horizontal="right" vertical="center" wrapText="1"/>
    </xf>
    <xf numFmtId="0" fontId="6" fillId="0" borderId="15" xfId="114" applyFont="1" applyBorder="1" applyAlignment="1">
      <alignment vertical="center"/>
    </xf>
    <xf numFmtId="0" fontId="5" fillId="0" borderId="45" xfId="114" applyBorder="1" applyAlignment="1">
      <alignment vertical="center"/>
    </xf>
    <xf numFmtId="49" fontId="5" fillId="0" borderId="45" xfId="114" applyNumberFormat="1" applyBorder="1" applyAlignment="1">
      <alignment horizontal="right" vertical="center"/>
    </xf>
    <xf numFmtId="49" fontId="6" fillId="0" borderId="46" xfId="114" applyNumberFormat="1" applyFont="1" applyBorder="1" applyAlignment="1">
      <alignment horizontal="right" vertical="center"/>
    </xf>
    <xf numFmtId="49" fontId="6" fillId="0" borderId="47" xfId="114" applyNumberFormat="1" applyFont="1" applyBorder="1" applyAlignment="1">
      <alignment horizontal="center" vertical="center"/>
    </xf>
    <xf numFmtId="14" fontId="6" fillId="0" borderId="14" xfId="114" applyNumberFormat="1" applyFont="1" applyBorder="1" applyAlignment="1">
      <alignment horizontal="right" vertical="center"/>
    </xf>
    <xf numFmtId="0" fontId="8" fillId="0" borderId="0" xfId="114" applyFont="1" applyAlignment="1">
      <alignment horizontal="center" vertical="center" wrapText="1"/>
    </xf>
    <xf numFmtId="0" fontId="8" fillId="0" borderId="0" xfId="114" applyFont="1" applyAlignment="1">
      <alignment vertical="center" wrapText="1"/>
    </xf>
    <xf numFmtId="49" fontId="6" fillId="0" borderId="44" xfId="114" applyNumberFormat="1" applyFont="1" applyBorder="1" applyAlignment="1">
      <alignment horizontal="right" vertical="center"/>
    </xf>
    <xf numFmtId="49" fontId="6" fillId="0" borderId="45" xfId="114" applyNumberFormat="1" applyFont="1" applyBorder="1" applyAlignment="1">
      <alignment horizontal="center" vertical="center"/>
    </xf>
    <xf numFmtId="14" fontId="6" fillId="0" borderId="15" xfId="114" applyNumberFormat="1" applyFont="1" applyBorder="1" applyAlignment="1">
      <alignment horizontal="right" vertical="center"/>
    </xf>
    <xf numFmtId="4" fontId="6" fillId="0" borderId="15" xfId="114" applyNumberFormat="1" applyFont="1" applyBorder="1" applyAlignment="1">
      <alignment vertical="center"/>
    </xf>
    <xf numFmtId="0" fontId="6" fillId="0" borderId="15" xfId="114" applyFont="1" applyBorder="1" applyAlignment="1">
      <alignment horizontal="left" vertical="center"/>
    </xf>
    <xf numFmtId="49" fontId="6" fillId="0" borderId="48" xfId="114" applyNumberFormat="1" applyFont="1" applyBorder="1" applyAlignment="1">
      <alignment horizontal="right" vertical="center"/>
    </xf>
    <xf numFmtId="49" fontId="6" fillId="0" borderId="49" xfId="114" applyNumberFormat="1" applyFont="1" applyBorder="1" applyAlignment="1">
      <alignment horizontal="center" vertical="center"/>
    </xf>
    <xf numFmtId="14" fontId="6" fillId="0" borderId="17" xfId="114" applyNumberFormat="1" applyFont="1" applyBorder="1" applyAlignment="1">
      <alignment horizontal="right" vertical="center"/>
    </xf>
    <xf numFmtId="4" fontId="6" fillId="0" borderId="17" xfId="114" applyNumberFormat="1" applyFont="1" applyBorder="1" applyAlignment="1">
      <alignment vertical="center"/>
    </xf>
    <xf numFmtId="49" fontId="6" fillId="0" borderId="26" xfId="114" applyNumberFormat="1" applyFont="1" applyBorder="1" applyAlignment="1">
      <alignment horizontal="right" vertical="center"/>
    </xf>
    <xf numFmtId="49" fontId="6" fillId="0" borderId="71" xfId="114" applyNumberFormat="1" applyFont="1" applyBorder="1" applyAlignment="1">
      <alignment horizontal="center" vertical="center"/>
    </xf>
    <xf numFmtId="0" fontId="6" fillId="0" borderId="27" xfId="114" applyFont="1" applyBorder="1" applyAlignment="1">
      <alignment horizontal="left" vertical="center"/>
    </xf>
    <xf numFmtId="14" fontId="6" fillId="0" borderId="27" xfId="114" applyNumberFormat="1" applyFont="1" applyBorder="1" applyAlignment="1">
      <alignment horizontal="right" vertical="center"/>
    </xf>
    <xf numFmtId="0" fontId="6" fillId="0" borderId="27" xfId="114" applyFont="1" applyBorder="1" applyAlignment="1">
      <alignment horizontal="right" vertical="center"/>
    </xf>
    <xf numFmtId="4" fontId="6" fillId="0" borderId="27" xfId="114" applyNumberFormat="1" applyFont="1" applyBorder="1" applyAlignment="1">
      <alignment vertical="center"/>
    </xf>
    <xf numFmtId="0" fontId="5" fillId="0" borderId="71" xfId="114" applyBorder="1" applyAlignment="1">
      <alignment vertical="center"/>
    </xf>
    <xf numFmtId="49" fontId="5" fillId="0" borderId="71" xfId="114" applyNumberFormat="1" applyBorder="1" applyAlignment="1">
      <alignment horizontal="right" vertical="center"/>
    </xf>
    <xf numFmtId="49" fontId="8" fillId="0" borderId="73" xfId="114" applyNumberFormat="1" applyFont="1" applyBorder="1" applyAlignment="1">
      <alignment vertical="center"/>
    </xf>
    <xf numFmtId="0" fontId="59" fillId="0" borderId="0" xfId="114" applyFont="1" applyAlignment="1">
      <alignment vertical="center"/>
    </xf>
    <xf numFmtId="49" fontId="6" fillId="0" borderId="0" xfId="114" applyNumberFormat="1" applyFont="1" applyAlignment="1">
      <alignment horizontal="center" vertical="center"/>
    </xf>
    <xf numFmtId="0" fontId="6" fillId="0" borderId="0" xfId="114" applyFont="1" applyAlignment="1">
      <alignment horizontal="left" vertical="center"/>
    </xf>
    <xf numFmtId="14" fontId="6" fillId="0" borderId="0" xfId="114" applyNumberFormat="1" applyFont="1" applyAlignment="1">
      <alignment horizontal="right" vertical="center"/>
    </xf>
    <xf numFmtId="4" fontId="6" fillId="0" borderId="0" xfId="114" applyNumberFormat="1" applyFont="1" applyAlignment="1">
      <alignment vertical="center"/>
    </xf>
    <xf numFmtId="49" fontId="6" fillId="0" borderId="39" xfId="114" applyNumberFormat="1" applyFont="1" applyBorder="1" applyAlignment="1">
      <alignment horizontal="left" vertical="center"/>
    </xf>
    <xf numFmtId="49" fontId="6" fillId="0" borderId="38" xfId="114" applyNumberFormat="1" applyFont="1" applyBorder="1" applyAlignment="1">
      <alignment horizontal="left" vertical="center"/>
    </xf>
    <xf numFmtId="49" fontId="6" fillId="0" borderId="43" xfId="114" applyNumberFormat="1" applyFont="1" applyBorder="1" applyAlignment="1">
      <alignment horizontal="left" vertical="center"/>
    </xf>
    <xf numFmtId="49" fontId="6" fillId="0" borderId="39" xfId="114" applyNumberFormat="1" applyFont="1" applyBorder="1" applyAlignment="1">
      <alignment horizontal="left" vertical="center" wrapText="1"/>
    </xf>
    <xf numFmtId="49" fontId="6" fillId="0" borderId="38" xfId="114" applyNumberFormat="1" applyFont="1" applyBorder="1" applyAlignment="1">
      <alignment horizontal="left" vertical="center" wrapText="1"/>
    </xf>
    <xf numFmtId="49" fontId="6" fillId="0" borderId="43" xfId="114" applyNumberFormat="1" applyFont="1" applyBorder="1" applyAlignment="1">
      <alignment horizontal="left" vertical="center" wrapText="1"/>
    </xf>
    <xf numFmtId="49" fontId="6" fillId="0" borderId="41" xfId="114" applyNumberFormat="1" applyFont="1" applyBorder="1" applyAlignment="1">
      <alignment horizontal="left" vertical="center"/>
    </xf>
    <xf numFmtId="49" fontId="6" fillId="0" borderId="41" xfId="114" applyNumberFormat="1" applyFont="1" applyBorder="1" applyAlignment="1">
      <alignment horizontal="left" vertical="center" wrapText="1"/>
    </xf>
    <xf numFmtId="0" fontId="103" fillId="0" borderId="0" xfId="40" applyFont="1" applyFill="1"/>
    <xf numFmtId="4" fontId="132" fillId="0" borderId="0" xfId="40" applyNumberFormat="1" applyFont="1" applyFill="1"/>
    <xf numFmtId="0" fontId="88" fillId="0" borderId="0" xfId="40" applyFont="1" applyFill="1"/>
    <xf numFmtId="0" fontId="104" fillId="0" borderId="0" xfId="46" applyFont="1" applyFill="1"/>
    <xf numFmtId="0" fontId="87" fillId="0" borderId="0" xfId="40" applyFont="1" applyFill="1"/>
    <xf numFmtId="0" fontId="5" fillId="0" borderId="0" xfId="40" applyFont="1" applyFill="1"/>
    <xf numFmtId="0" fontId="58" fillId="0" borderId="0" xfId="40" applyFont="1" applyFill="1" applyAlignment="1">
      <alignment vertical="center"/>
    </xf>
    <xf numFmtId="0" fontId="111" fillId="0" borderId="0" xfId="40" applyFont="1" applyFill="1"/>
    <xf numFmtId="0" fontId="133" fillId="0" borderId="0" xfId="40" applyFont="1" applyFill="1" applyAlignment="1">
      <alignment vertical="center"/>
    </xf>
    <xf numFmtId="0" fontId="5" fillId="0" borderId="0" xfId="40" applyFont="1" applyFill="1" applyAlignment="1">
      <alignment vertical="center"/>
    </xf>
    <xf numFmtId="4" fontId="132" fillId="0" borderId="0" xfId="40" applyNumberFormat="1" applyFont="1" applyFill="1" applyAlignment="1">
      <alignment vertical="center"/>
    </xf>
    <xf numFmtId="4" fontId="6" fillId="0" borderId="0" xfId="0" applyNumberFormat="1" applyFont="1" applyFill="1" applyAlignment="1">
      <alignment horizontal="right"/>
    </xf>
    <xf numFmtId="0" fontId="6" fillId="0" borderId="0" xfId="40" applyFont="1" applyFill="1"/>
    <xf numFmtId="0" fontId="6" fillId="0" borderId="0" xfId="40" applyFont="1" applyFill="1" applyAlignment="1">
      <alignment vertical="center"/>
    </xf>
    <xf numFmtId="171" fontId="8" fillId="0" borderId="0" xfId="40" applyNumberFormat="1" applyFont="1" applyFill="1" applyAlignment="1">
      <alignment horizontal="right" vertical="center"/>
    </xf>
    <xf numFmtId="170" fontId="5" fillId="0" borderId="0" xfId="40" applyNumberFormat="1" applyFont="1" applyFill="1" applyAlignment="1">
      <alignment vertical="center"/>
    </xf>
    <xf numFmtId="171" fontId="8" fillId="0" borderId="0" xfId="53" applyNumberFormat="1" applyFont="1" applyFill="1" applyAlignment="1">
      <alignment horizontal="right" vertical="center"/>
    </xf>
    <xf numFmtId="169" fontId="5" fillId="0" borderId="0" xfId="40" applyNumberFormat="1" applyFont="1" applyFill="1" applyAlignment="1">
      <alignment vertical="center"/>
    </xf>
    <xf numFmtId="4" fontId="134" fillId="0" borderId="0" xfId="40" applyNumberFormat="1" applyFont="1" applyFill="1" applyAlignment="1">
      <alignment vertical="center" wrapText="1"/>
    </xf>
    <xf numFmtId="4" fontId="135" fillId="0" borderId="0" xfId="40" applyNumberFormat="1" applyFont="1" applyFill="1" applyAlignment="1">
      <alignment horizontal="left" vertical="center"/>
    </xf>
    <xf numFmtId="171" fontId="6" fillId="0" borderId="0" xfId="40" applyNumberFormat="1" applyFont="1" applyFill="1" applyAlignment="1">
      <alignment vertical="center"/>
    </xf>
    <xf numFmtId="4" fontId="6" fillId="0" borderId="0" xfId="40" applyNumberFormat="1" applyFont="1" applyFill="1" applyAlignment="1">
      <alignment vertical="center"/>
    </xf>
    <xf numFmtId="170" fontId="88" fillId="0" borderId="0" xfId="40" applyNumberFormat="1" applyFont="1" applyFill="1" applyAlignment="1">
      <alignment vertical="center"/>
    </xf>
    <xf numFmtId="4" fontId="135" fillId="0" borderId="0" xfId="40" applyNumberFormat="1" applyFont="1" applyFill="1" applyAlignment="1">
      <alignment vertical="center"/>
    </xf>
    <xf numFmtId="4" fontId="94" fillId="0" borderId="0" xfId="0" applyNumberFormat="1" applyFont="1" applyFill="1" applyAlignment="1">
      <alignment horizontal="left" vertical="center" wrapText="1"/>
    </xf>
    <xf numFmtId="171" fontId="111" fillId="0" borderId="0" xfId="40" applyNumberFormat="1" applyFont="1" applyFill="1" applyAlignment="1">
      <alignment vertical="center"/>
    </xf>
    <xf numFmtId="4" fontId="5" fillId="0" borderId="0" xfId="40" applyNumberFormat="1" applyFont="1" applyFill="1" applyAlignment="1">
      <alignment vertical="center"/>
    </xf>
    <xf numFmtId="0" fontId="135" fillId="0" borderId="0" xfId="40" applyFont="1" applyFill="1" applyAlignment="1">
      <alignment vertical="center"/>
    </xf>
    <xf numFmtId="0" fontId="111" fillId="0" borderId="0" xfId="40" applyFont="1" applyFill="1" applyAlignment="1">
      <alignment vertical="center"/>
    </xf>
    <xf numFmtId="171" fontId="5" fillId="0" borderId="0" xfId="40" applyNumberFormat="1" applyFont="1" applyFill="1" applyAlignment="1">
      <alignment vertical="center"/>
    </xf>
    <xf numFmtId="169" fontId="88" fillId="0" borderId="0" xfId="40" applyNumberFormat="1" applyFont="1" applyFill="1" applyAlignment="1">
      <alignment vertical="center"/>
    </xf>
    <xf numFmtId="0" fontId="147" fillId="0" borderId="0" xfId="40" applyFont="1" applyFill="1" applyAlignment="1">
      <alignment vertical="center"/>
    </xf>
    <xf numFmtId="173" fontId="148" fillId="0" borderId="0" xfId="40" applyNumberFormat="1" applyFont="1" applyFill="1" applyAlignment="1">
      <alignment vertical="center"/>
    </xf>
    <xf numFmtId="169" fontId="148" fillId="0" borderId="0" xfId="40" applyNumberFormat="1" applyFont="1" applyFill="1" applyAlignment="1">
      <alignment vertical="center"/>
    </xf>
    <xf numFmtId="0" fontId="149" fillId="0" borderId="0" xfId="40" applyFont="1" applyFill="1" applyAlignment="1">
      <alignment vertical="center"/>
    </xf>
    <xf numFmtId="170" fontId="111" fillId="0" borderId="0" xfId="40" applyNumberFormat="1" applyFont="1" applyFill="1" applyAlignment="1">
      <alignment vertical="center"/>
    </xf>
    <xf numFmtId="0" fontId="104" fillId="0" borderId="0" xfId="46" applyFont="1" applyFill="1" applyAlignment="1">
      <alignment vertical="center"/>
    </xf>
    <xf numFmtId="0" fontId="103" fillId="0" borderId="0" xfId="46" applyFont="1" applyFill="1" applyAlignment="1">
      <alignment vertical="center"/>
    </xf>
    <xf numFmtId="171" fontId="114" fillId="0" borderId="0" xfId="46" applyNumberFormat="1" applyFont="1" applyFill="1" applyAlignment="1">
      <alignment vertical="center"/>
    </xf>
    <xf numFmtId="171" fontId="132" fillId="0" borderId="0" xfId="40" applyNumberFormat="1" applyFont="1" applyFill="1" applyAlignment="1">
      <alignment vertical="center"/>
    </xf>
    <xf numFmtId="0" fontId="136" fillId="0" borderId="0" xfId="40" applyFont="1" applyFill="1" applyAlignment="1">
      <alignment horizontal="right" vertical="center"/>
    </xf>
    <xf numFmtId="171" fontId="114" fillId="0" borderId="0" xfId="40" applyNumberFormat="1" applyFont="1" applyFill="1" applyAlignment="1">
      <alignment vertical="center"/>
    </xf>
    <xf numFmtId="0" fontId="105" fillId="0" borderId="0" xfId="40" applyFont="1" applyFill="1" applyAlignment="1">
      <alignment vertical="center"/>
    </xf>
    <xf numFmtId="0" fontId="135" fillId="0" borderId="0" xfId="46" applyFont="1" applyFill="1" applyAlignment="1">
      <alignment vertical="center"/>
    </xf>
    <xf numFmtId="4" fontId="151" fillId="0" borderId="0" xfId="40" applyNumberFormat="1" applyFont="1" applyFill="1" applyAlignment="1">
      <alignment vertical="center"/>
    </xf>
    <xf numFmtId="4" fontId="135" fillId="0" borderId="0" xfId="0" applyNumberFormat="1" applyFont="1" applyFill="1" applyAlignment="1">
      <alignment horizontal="right" vertical="center" wrapText="1"/>
    </xf>
    <xf numFmtId="4" fontId="148" fillId="0" borderId="0" xfId="0" applyNumberFormat="1" applyFont="1" applyFill="1"/>
    <xf numFmtId="171" fontId="152" fillId="0" borderId="0" xfId="40" applyNumberFormat="1" applyFont="1" applyFill="1" applyAlignment="1">
      <alignment vertical="center"/>
    </xf>
    <xf numFmtId="0" fontId="153" fillId="0" borderId="0" xfId="40" applyFont="1" applyFill="1" applyAlignment="1">
      <alignment vertical="center"/>
    </xf>
    <xf numFmtId="0" fontId="106" fillId="0" borderId="0" xfId="40" applyFont="1" applyFill="1"/>
    <xf numFmtId="0" fontId="107" fillId="0" borderId="0" xfId="0" applyFont="1" applyFill="1"/>
    <xf numFmtId="171" fontId="108" fillId="0" borderId="0" xfId="40" applyNumberFormat="1" applyFont="1" applyFill="1" applyAlignment="1">
      <alignment vertical="center"/>
    </xf>
    <xf numFmtId="171" fontId="109" fillId="0" borderId="0" xfId="40" applyNumberFormat="1" applyFont="1" applyFill="1" applyAlignment="1">
      <alignment vertical="center"/>
    </xf>
    <xf numFmtId="4" fontId="149" fillId="0" borderId="0" xfId="46" applyNumberFormat="1" applyFont="1" applyFill="1" applyAlignment="1">
      <alignment vertical="center"/>
    </xf>
    <xf numFmtId="169" fontId="151" fillId="0" borderId="0" xfId="40" applyNumberFormat="1" applyFont="1" applyFill="1" applyAlignment="1">
      <alignment vertical="center"/>
    </xf>
    <xf numFmtId="171" fontId="149" fillId="0" borderId="0" xfId="40" applyNumberFormat="1" applyFont="1" applyFill="1" applyAlignment="1">
      <alignment vertical="center"/>
    </xf>
    <xf numFmtId="0" fontId="154" fillId="0" borderId="0" xfId="0" applyFont="1" applyFill="1" applyAlignment="1">
      <alignment horizontal="justify" vertical="center"/>
    </xf>
    <xf numFmtId="169" fontId="155" fillId="0" borderId="0" xfId="40" applyNumberFormat="1" applyFont="1" applyFill="1" applyAlignment="1">
      <alignment vertical="center"/>
    </xf>
    <xf numFmtId="4" fontId="138" fillId="0" borderId="0" xfId="40" applyNumberFormat="1" applyFont="1" applyFill="1" applyAlignment="1">
      <alignment vertical="center"/>
    </xf>
    <xf numFmtId="0" fontId="111" fillId="0" borderId="0" xfId="40" applyFont="1" applyFill="1" applyAlignment="1">
      <alignment horizontal="right" vertical="center"/>
    </xf>
    <xf numFmtId="169" fontId="103" fillId="0" borderId="0" xfId="46" applyNumberFormat="1" applyFont="1" applyFill="1" applyAlignment="1">
      <alignment vertical="center"/>
    </xf>
    <xf numFmtId="169" fontId="138" fillId="0" borderId="0" xfId="40" applyNumberFormat="1" applyFont="1" applyFill="1" applyAlignment="1">
      <alignment vertical="center"/>
    </xf>
    <xf numFmtId="169" fontId="135" fillId="0" borderId="0" xfId="40" applyNumberFormat="1" applyFont="1" applyFill="1" applyAlignment="1">
      <alignment vertical="center"/>
    </xf>
    <xf numFmtId="0" fontId="132" fillId="0" borderId="0" xfId="40" applyFont="1" applyFill="1" applyAlignment="1">
      <alignment vertical="center"/>
    </xf>
    <xf numFmtId="167" fontId="103" fillId="0" borderId="0" xfId="46" applyNumberFormat="1" applyFont="1" applyFill="1" applyAlignment="1">
      <alignment vertical="center"/>
    </xf>
    <xf numFmtId="169" fontId="132" fillId="0" borderId="0" xfId="40" applyNumberFormat="1" applyFont="1" applyFill="1" applyAlignment="1">
      <alignment vertical="center"/>
    </xf>
    <xf numFmtId="0" fontId="112" fillId="0" borderId="0" xfId="40" applyFont="1" applyFill="1" applyAlignment="1">
      <alignment horizontal="center" vertical="center"/>
    </xf>
    <xf numFmtId="4" fontId="113" fillId="0" borderId="0" xfId="46" applyNumberFormat="1" applyFont="1" applyFill="1" applyBorder="1" applyAlignment="1">
      <alignment vertical="center" wrapText="1"/>
    </xf>
    <xf numFmtId="169" fontId="114" fillId="0" borderId="0" xfId="46" applyNumberFormat="1" applyFont="1" applyFill="1" applyAlignment="1">
      <alignment vertical="center"/>
    </xf>
    <xf numFmtId="171" fontId="88" fillId="0" borderId="0" xfId="40" applyNumberFormat="1" applyFont="1" applyFill="1" applyAlignment="1">
      <alignment vertical="center"/>
    </xf>
    <xf numFmtId="4" fontId="89" fillId="0" borderId="0" xfId="46" applyNumberFormat="1" applyFont="1" applyFill="1" applyAlignment="1">
      <alignment vertical="center"/>
    </xf>
    <xf numFmtId="172" fontId="132" fillId="0" borderId="0" xfId="40" applyNumberFormat="1" applyFont="1" applyFill="1" applyAlignment="1">
      <alignment vertical="center"/>
    </xf>
    <xf numFmtId="172" fontId="88" fillId="0" borderId="0" xfId="40" applyNumberFormat="1" applyFont="1" applyFill="1" applyAlignment="1">
      <alignment vertical="center"/>
    </xf>
    <xf numFmtId="0" fontId="117" fillId="0" borderId="0" xfId="0" applyFont="1" applyFill="1" applyAlignment="1">
      <alignment vertical="center"/>
    </xf>
    <xf numFmtId="4" fontId="83" fillId="0" borderId="0" xfId="113" applyNumberFormat="1" applyFont="1" applyFill="1" applyAlignment="1">
      <alignment horizontal="right" vertical="top"/>
    </xf>
    <xf numFmtId="4" fontId="139" fillId="0" borderId="0" xfId="0" applyNumberFormat="1" applyFont="1" applyFill="1" applyAlignment="1">
      <alignment vertical="center"/>
    </xf>
    <xf numFmtId="0" fontId="88" fillId="0" borderId="0" xfId="40" applyFont="1" applyFill="1" applyAlignment="1">
      <alignment vertical="center" wrapText="1"/>
    </xf>
    <xf numFmtId="169" fontId="118" fillId="0" borderId="0" xfId="40" applyNumberFormat="1" applyFont="1" applyFill="1" applyAlignment="1">
      <alignment vertical="center" wrapText="1"/>
    </xf>
    <xf numFmtId="0" fontId="54" fillId="0" borderId="0" xfId="0" applyFont="1" applyFill="1" applyAlignment="1">
      <alignment horizontal="left" vertical="center"/>
    </xf>
    <xf numFmtId="0" fontId="88" fillId="0" borderId="0" xfId="40" applyFont="1" applyFill="1" applyAlignment="1">
      <alignment horizontal="left" vertical="center"/>
    </xf>
    <xf numFmtId="169" fontId="54" fillId="0" borderId="0" xfId="0" applyNumberFormat="1" applyFont="1" applyFill="1" applyAlignment="1">
      <alignment vertical="center" wrapText="1"/>
    </xf>
    <xf numFmtId="0" fontId="54" fillId="0" borderId="0" xfId="0" applyFont="1" applyFill="1" applyAlignment="1">
      <alignment vertical="center" wrapText="1"/>
    </xf>
    <xf numFmtId="4" fontId="140" fillId="0" borderId="0" xfId="0" applyNumberFormat="1" applyFont="1" applyFill="1" applyAlignment="1">
      <alignment vertical="center"/>
    </xf>
    <xf numFmtId="0" fontId="119" fillId="0" borderId="0" xfId="46" applyFont="1" applyFill="1" applyAlignment="1">
      <alignment vertical="center"/>
    </xf>
    <xf numFmtId="4" fontId="141" fillId="0" borderId="0" xfId="113" applyNumberFormat="1" applyFont="1" applyFill="1" applyAlignment="1">
      <alignment horizontal="right" vertical="top"/>
    </xf>
    <xf numFmtId="0" fontId="142" fillId="0" borderId="0" xfId="0" applyFont="1" applyFill="1" applyAlignment="1">
      <alignment vertical="center"/>
    </xf>
    <xf numFmtId="0" fontId="120" fillId="0" borderId="0" xfId="46" applyFont="1" applyFill="1" applyAlignment="1">
      <alignment vertical="center"/>
    </xf>
    <xf numFmtId="0" fontId="143" fillId="0" borderId="0" xfId="46" applyFont="1" applyFill="1" applyAlignment="1">
      <alignment vertical="center"/>
    </xf>
    <xf numFmtId="0" fontId="103" fillId="0" borderId="0" xfId="46" applyFont="1" applyFill="1"/>
    <xf numFmtId="0" fontId="117" fillId="0" borderId="0" xfId="46" applyFont="1" applyFill="1" applyAlignment="1">
      <alignment vertical="center"/>
    </xf>
    <xf numFmtId="0" fontId="147" fillId="0" borderId="0" xfId="46" applyFont="1" applyFill="1"/>
    <xf numFmtId="0" fontId="149" fillId="0" borderId="0" xfId="40" applyFont="1" applyFill="1"/>
    <xf numFmtId="0" fontId="86" fillId="0" borderId="0" xfId="46" applyFont="1" applyFill="1" applyAlignment="1">
      <alignment vertical="center"/>
    </xf>
    <xf numFmtId="4" fontId="144" fillId="0" borderId="0" xfId="40" applyNumberFormat="1" applyFont="1" applyFill="1" applyAlignment="1">
      <alignment vertical="center"/>
    </xf>
    <xf numFmtId="0" fontId="28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3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2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53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54" fillId="0" borderId="0" xfId="0" applyFont="1" applyFill="1" applyAlignment="1">
      <alignment horizontal="left" indent="1"/>
    </xf>
    <xf numFmtId="0" fontId="5" fillId="0" borderId="0" xfId="118"/>
    <xf numFmtId="0" fontId="10" fillId="0" borderId="0" xfId="118" applyFont="1" applyAlignment="1">
      <alignment horizontal="center"/>
    </xf>
    <xf numFmtId="0" fontId="8" fillId="0" borderId="0" xfId="118" applyFont="1" applyAlignment="1">
      <alignment horizontal="center"/>
    </xf>
    <xf numFmtId="0" fontId="8" fillId="0" borderId="50" xfId="118" applyFont="1" applyBorder="1" applyAlignment="1">
      <alignment horizontal="center"/>
    </xf>
    <xf numFmtId="0" fontId="8" fillId="0" borderId="10" xfId="118" applyFont="1" applyBorder="1" applyAlignment="1">
      <alignment horizontal="center"/>
    </xf>
    <xf numFmtId="0" fontId="8" fillId="0" borderId="11" xfId="118" applyFont="1" applyBorder="1" applyAlignment="1">
      <alignment horizontal="center"/>
    </xf>
    <xf numFmtId="0" fontId="12" fillId="0" borderId="51" xfId="118" applyFont="1" applyBorder="1"/>
    <xf numFmtId="4" fontId="12" fillId="0" borderId="33" xfId="118" applyNumberFormat="1" applyFont="1" applyBorder="1"/>
    <xf numFmtId="4" fontId="12" fillId="0" borderId="55" xfId="118" applyNumberFormat="1" applyFont="1" applyBorder="1"/>
    <xf numFmtId="10" fontId="12" fillId="0" borderId="39" xfId="118" applyNumberFormat="1" applyFont="1" applyBorder="1"/>
    <xf numFmtId="4" fontId="5" fillId="0" borderId="0" xfId="118" applyNumberFormat="1"/>
    <xf numFmtId="174" fontId="5" fillId="0" borderId="0" xfId="118" applyNumberFormat="1"/>
    <xf numFmtId="0" fontId="12" fillId="0" borderId="46" xfId="118" applyFont="1" applyBorder="1"/>
    <xf numFmtId="4" fontId="12" fillId="0" borderId="14" xfId="118" applyNumberFormat="1" applyFont="1" applyBorder="1"/>
    <xf numFmtId="10" fontId="12" fillId="0" borderId="39" xfId="118" applyNumberFormat="1" applyFont="1" applyBorder="1" applyAlignment="1">
      <alignment horizontal="center"/>
    </xf>
    <xf numFmtId="169" fontId="5" fillId="0" borderId="0" xfId="118" applyNumberFormat="1"/>
    <xf numFmtId="0" fontId="7" fillId="0" borderId="50" xfId="118" applyFont="1" applyBorder="1"/>
    <xf numFmtId="4" fontId="7" fillId="0" borderId="29" xfId="118" applyNumberFormat="1" applyFont="1" applyBorder="1"/>
    <xf numFmtId="4" fontId="7" fillId="0" borderId="10" xfId="118" applyNumberFormat="1" applyFont="1" applyBorder="1"/>
    <xf numFmtId="10" fontId="7" fillId="0" borderId="11" xfId="118" applyNumberFormat="1" applyFont="1" applyBorder="1"/>
    <xf numFmtId="0" fontId="6" fillId="0" borderId="0" xfId="118" applyFont="1"/>
    <xf numFmtId="166" fontId="6" fillId="0" borderId="0" xfId="118" applyNumberFormat="1" applyFont="1"/>
    <xf numFmtId="4" fontId="6" fillId="0" borderId="0" xfId="118" applyNumberFormat="1" applyFont="1"/>
    <xf numFmtId="0" fontId="12" fillId="0" borderId="56" xfId="118" applyFont="1" applyBorder="1"/>
    <xf numFmtId="4" fontId="12" fillId="0" borderId="15" xfId="118" applyNumberFormat="1" applyFont="1" applyBorder="1"/>
    <xf numFmtId="10" fontId="12" fillId="0" borderId="38" xfId="118" applyNumberFormat="1" applyFont="1" applyBorder="1"/>
    <xf numFmtId="0" fontId="12" fillId="0" borderId="44" xfId="118" applyFont="1" applyBorder="1"/>
    <xf numFmtId="10" fontId="12" fillId="0" borderId="38" xfId="118" applyNumberFormat="1" applyFont="1" applyBorder="1" applyAlignment="1">
      <alignment horizontal="center" vertical="center"/>
    </xf>
    <xf numFmtId="0" fontId="7" fillId="0" borderId="0" xfId="118" applyFont="1"/>
    <xf numFmtId="166" fontId="7" fillId="0" borderId="0" xfId="118" applyNumberFormat="1" applyFont="1"/>
    <xf numFmtId="4" fontId="7" fillId="0" borderId="0" xfId="118" applyNumberFormat="1" applyFont="1"/>
    <xf numFmtId="166" fontId="5" fillId="0" borderId="0" xfId="118" applyNumberFormat="1"/>
    <xf numFmtId="0" fontId="8" fillId="0" borderId="50" xfId="118" applyFont="1" applyBorder="1" applyAlignment="1">
      <alignment horizontal="center" vertical="center"/>
    </xf>
    <xf numFmtId="166" fontId="8" fillId="0" borderId="10" xfId="118" applyNumberFormat="1" applyFont="1" applyBorder="1" applyAlignment="1">
      <alignment horizontal="center" vertical="center"/>
    </xf>
    <xf numFmtId="166" fontId="8" fillId="0" borderId="10" xfId="118" applyNumberFormat="1" applyFont="1" applyBorder="1" applyAlignment="1">
      <alignment horizontal="center" vertical="center" wrapText="1"/>
    </xf>
    <xf numFmtId="4" fontId="8" fillId="0" borderId="11" xfId="118" applyNumberFormat="1" applyFont="1" applyBorder="1" applyAlignment="1">
      <alignment horizontal="center" vertical="center"/>
    </xf>
    <xf numFmtId="0" fontId="7" fillId="52" borderId="26" xfId="118" applyFont="1" applyFill="1" applyBorder="1"/>
    <xf numFmtId="4" fontId="7" fillId="52" borderId="27" xfId="118" applyNumberFormat="1" applyFont="1" applyFill="1" applyBorder="1"/>
    <xf numFmtId="4" fontId="11" fillId="52" borderId="41" xfId="118" applyNumberFormat="1" applyFont="1" applyFill="1" applyBorder="1" applyAlignment="1">
      <alignment horizontal="center" vertical="center"/>
    </xf>
    <xf numFmtId="0" fontId="5" fillId="0" borderId="0" xfId="118" applyAlignment="1">
      <alignment vertical="center"/>
    </xf>
    <xf numFmtId="0" fontId="7" fillId="0" borderId="20" xfId="118" applyFont="1" applyBorder="1" applyAlignment="1">
      <alignment horizontal="center"/>
    </xf>
    <xf numFmtId="0" fontId="8" fillId="0" borderId="57" xfId="118" applyFont="1" applyBorder="1" applyAlignment="1">
      <alignment horizontal="center"/>
    </xf>
    <xf numFmtId="0" fontId="8" fillId="0" borderId="12" xfId="118" applyFont="1" applyBorder="1" applyAlignment="1">
      <alignment horizontal="center"/>
    </xf>
    <xf numFmtId="0" fontId="7" fillId="0" borderId="51" xfId="118" applyFont="1" applyBorder="1" applyAlignment="1">
      <alignment vertical="center"/>
    </xf>
    <xf numFmtId="49" fontId="7" fillId="0" borderId="51" xfId="118" applyNumberFormat="1" applyFont="1" applyBorder="1" applyAlignment="1">
      <alignment horizontal="center" vertical="center"/>
    </xf>
    <xf numFmtId="4" fontId="7" fillId="0" borderId="58" xfId="118" applyNumberFormat="1" applyFont="1" applyBorder="1" applyAlignment="1">
      <alignment vertical="center"/>
    </xf>
    <xf numFmtId="4" fontId="7" fillId="0" borderId="33" xfId="118" applyNumberFormat="1" applyFont="1" applyBorder="1" applyAlignment="1">
      <alignment vertical="center"/>
    </xf>
    <xf numFmtId="10" fontId="7" fillId="0" borderId="34" xfId="118" applyNumberFormat="1" applyFont="1" applyBorder="1" applyAlignment="1">
      <alignment vertical="center"/>
    </xf>
    <xf numFmtId="0" fontId="12" fillId="0" borderId="46" xfId="118" applyFont="1" applyBorder="1" applyAlignment="1">
      <alignment vertical="center"/>
    </xf>
    <xf numFmtId="49" fontId="12" fillId="0" borderId="46" xfId="118" applyNumberFormat="1" applyFont="1" applyBorder="1" applyAlignment="1">
      <alignment horizontal="center" vertical="center"/>
    </xf>
    <xf numFmtId="4" fontId="12" fillId="0" borderId="52" xfId="118" applyNumberFormat="1" applyFont="1" applyBorder="1" applyAlignment="1">
      <alignment vertical="center"/>
    </xf>
    <xf numFmtId="4" fontId="12" fillId="0" borderId="14" xfId="118" applyNumberFormat="1" applyFont="1" applyBorder="1" applyAlignment="1">
      <alignment vertical="center"/>
    </xf>
    <xf numFmtId="10" fontId="12" fillId="0" borderId="39" xfId="118" applyNumberFormat="1" applyFont="1" applyBorder="1" applyAlignment="1">
      <alignment vertical="center"/>
    </xf>
    <xf numFmtId="0" fontId="12" fillId="0" borderId="23" xfId="118" applyFont="1" applyBorder="1" applyAlignment="1">
      <alignment vertical="center"/>
    </xf>
    <xf numFmtId="0" fontId="7" fillId="0" borderId="51" xfId="118" applyFont="1" applyBorder="1" applyAlignment="1">
      <alignment vertical="center" wrapText="1"/>
    </xf>
    <xf numFmtId="49" fontId="7" fillId="0" borderId="51" xfId="118" applyNumberFormat="1" applyFont="1" applyBorder="1" applyAlignment="1">
      <alignment horizontal="center" vertical="center" wrapText="1"/>
    </xf>
    <xf numFmtId="4" fontId="12" fillId="0" borderId="15" xfId="118" applyNumberFormat="1" applyFont="1" applyBorder="1" applyAlignment="1">
      <alignment vertical="center"/>
    </xf>
    <xf numFmtId="10" fontId="12" fillId="0" borderId="38" xfId="118" applyNumberFormat="1" applyFont="1" applyBorder="1" applyAlignment="1">
      <alignment vertical="center"/>
    </xf>
    <xf numFmtId="0" fontId="12" fillId="0" borderId="44" xfId="118" applyFont="1" applyBorder="1" applyAlignment="1">
      <alignment vertical="center"/>
    </xf>
    <xf numFmtId="49" fontId="12" fillId="0" borderId="44" xfId="118" applyNumberFormat="1" applyFont="1" applyBorder="1" applyAlignment="1">
      <alignment horizontal="center" vertical="center"/>
    </xf>
    <xf numFmtId="0" fontId="12" fillId="0" borderId="54" xfId="118" applyFont="1" applyBorder="1" applyAlignment="1">
      <alignment vertical="center"/>
    </xf>
    <xf numFmtId="49" fontId="12" fillId="0" borderId="54" xfId="118" applyNumberFormat="1" applyFont="1" applyBorder="1" applyAlignment="1">
      <alignment horizontal="center" vertical="center"/>
    </xf>
    <xf numFmtId="4" fontId="12" fillId="0" borderId="82" xfId="118" applyNumberFormat="1" applyFont="1" applyBorder="1" applyAlignment="1">
      <alignment vertical="center"/>
    </xf>
    <xf numFmtId="4" fontId="12" fillId="0" borderId="35" xfId="118" applyNumberFormat="1" applyFont="1" applyBorder="1" applyAlignment="1">
      <alignment vertical="center"/>
    </xf>
    <xf numFmtId="10" fontId="12" fillId="0" borderId="42" xfId="118" applyNumberFormat="1" applyFont="1" applyBorder="1" applyAlignment="1">
      <alignment vertical="center"/>
    </xf>
    <xf numFmtId="49" fontId="12" fillId="0" borderId="22" xfId="118" applyNumberFormat="1" applyFont="1" applyBorder="1" applyAlignment="1">
      <alignment horizontal="center" vertical="center"/>
    </xf>
    <xf numFmtId="10" fontId="7" fillId="0" borderId="34" xfId="118" applyNumberFormat="1" applyFont="1" applyBorder="1" applyAlignment="1">
      <alignment horizontal="center" vertical="center"/>
    </xf>
    <xf numFmtId="0" fontId="12" fillId="0" borderId="26" xfId="118" applyFont="1" applyBorder="1" applyAlignment="1">
      <alignment vertical="center"/>
    </xf>
    <xf numFmtId="49" fontId="12" fillId="0" borderId="26" xfId="118" applyNumberFormat="1" applyFont="1" applyBorder="1" applyAlignment="1">
      <alignment horizontal="center" vertical="center"/>
    </xf>
    <xf numFmtId="4" fontId="12" fillId="0" borderId="40" xfId="118" applyNumberFormat="1" applyFont="1" applyBorder="1" applyAlignment="1">
      <alignment vertical="center"/>
    </xf>
    <xf numFmtId="4" fontId="12" fillId="0" borderId="27" xfId="118" applyNumberFormat="1" applyFont="1" applyBorder="1" applyAlignment="1">
      <alignment vertical="center"/>
    </xf>
    <xf numFmtId="10" fontId="12" fillId="0" borderId="43" xfId="118" applyNumberFormat="1" applyFont="1" applyBorder="1" applyAlignment="1">
      <alignment horizontal="center" vertical="center"/>
    </xf>
    <xf numFmtId="4" fontId="12" fillId="0" borderId="44" xfId="118" applyNumberFormat="1" applyFont="1" applyBorder="1" applyAlignment="1">
      <alignment vertical="center"/>
    </xf>
    <xf numFmtId="0" fontId="12" fillId="0" borderId="44" xfId="118" applyFont="1" applyBorder="1" applyAlignment="1">
      <alignment vertical="center" wrapText="1"/>
    </xf>
    <xf numFmtId="0" fontId="12" fillId="55" borderId="46" xfId="118" applyFont="1" applyFill="1" applyBorder="1" applyAlignment="1">
      <alignment vertical="center"/>
    </xf>
    <xf numFmtId="49" fontId="12" fillId="55" borderId="23" xfId="118" applyNumberFormat="1" applyFont="1" applyFill="1" applyBorder="1" applyAlignment="1">
      <alignment horizontal="center" vertical="center"/>
    </xf>
    <xf numFmtId="4" fontId="12" fillId="55" borderId="44" xfId="118" applyNumberFormat="1" applyFont="1" applyFill="1" applyBorder="1" applyAlignment="1">
      <alignment vertical="center"/>
    </xf>
    <xf numFmtId="4" fontId="12" fillId="55" borderId="15" xfId="118" applyNumberFormat="1" applyFont="1" applyFill="1" applyBorder="1" applyAlignment="1">
      <alignment vertical="center"/>
    </xf>
    <xf numFmtId="10" fontId="12" fillId="55" borderId="38" xfId="118" applyNumberFormat="1" applyFont="1" applyFill="1" applyBorder="1" applyAlignment="1">
      <alignment vertical="center"/>
    </xf>
    <xf numFmtId="49" fontId="12" fillId="0" borderId="23" xfId="118" applyNumberFormat="1" applyFont="1" applyBorder="1" applyAlignment="1">
      <alignment horizontal="center" vertical="center"/>
    </xf>
    <xf numFmtId="4" fontId="7" fillId="0" borderId="51" xfId="118" applyNumberFormat="1" applyFont="1" applyBorder="1" applyAlignment="1">
      <alignment vertical="center"/>
    </xf>
    <xf numFmtId="4" fontId="7" fillId="0" borderId="59" xfId="118" applyNumberFormat="1" applyFont="1" applyBorder="1" applyAlignment="1">
      <alignment vertical="center"/>
    </xf>
    <xf numFmtId="0" fontId="12" fillId="0" borderId="56" xfId="118" applyFont="1" applyBorder="1" applyAlignment="1">
      <alignment vertical="center" wrapText="1"/>
    </xf>
    <xf numFmtId="4" fontId="12" fillId="0" borderId="60" xfId="118" applyNumberFormat="1" applyFont="1" applyBorder="1" applyAlignment="1">
      <alignment vertical="center"/>
    </xf>
    <xf numFmtId="10" fontId="12" fillId="0" borderId="39" xfId="118" applyNumberFormat="1" applyFont="1" applyBorder="1" applyAlignment="1">
      <alignment horizontal="center" vertical="center"/>
    </xf>
    <xf numFmtId="0" fontId="12" fillId="0" borderId="61" xfId="118" applyFont="1" applyBorder="1" applyAlignment="1">
      <alignment vertical="center"/>
    </xf>
    <xf numFmtId="49" fontId="12" fillId="0" borderId="61" xfId="118" applyNumberFormat="1" applyFont="1" applyBorder="1" applyAlignment="1">
      <alignment horizontal="center" vertical="center"/>
    </xf>
    <xf numFmtId="4" fontId="12" fillId="0" borderId="36" xfId="118" applyNumberFormat="1" applyFont="1" applyBorder="1" applyAlignment="1">
      <alignment vertical="center"/>
    </xf>
    <xf numFmtId="10" fontId="12" fillId="0" borderId="37" xfId="118" applyNumberFormat="1" applyFont="1" applyBorder="1" applyAlignment="1">
      <alignment vertical="center"/>
    </xf>
    <xf numFmtId="16" fontId="12" fillId="0" borderId="83" xfId="118" applyNumberFormat="1" applyFont="1" applyBorder="1" applyAlignment="1">
      <alignment vertical="center"/>
    </xf>
    <xf numFmtId="49" fontId="12" fillId="0" borderId="48" xfId="118" applyNumberFormat="1" applyFont="1" applyBorder="1" applyAlignment="1">
      <alignment horizontal="center" vertical="center"/>
    </xf>
    <xf numFmtId="4" fontId="12" fillId="0" borderId="83" xfId="118" applyNumberFormat="1" applyFont="1" applyBorder="1" applyAlignment="1">
      <alignment vertical="center"/>
    </xf>
    <xf numFmtId="4" fontId="12" fillId="0" borderId="17" xfId="118" applyNumberFormat="1" applyFont="1" applyBorder="1" applyAlignment="1">
      <alignment vertical="center"/>
    </xf>
    <xf numFmtId="10" fontId="12" fillId="0" borderId="43" xfId="118" applyNumberFormat="1" applyFont="1" applyBorder="1" applyAlignment="1">
      <alignment vertical="center"/>
    </xf>
    <xf numFmtId="0" fontId="7" fillId="0" borderId="21" xfId="118" applyFont="1" applyBorder="1" applyAlignment="1">
      <alignment horizontal="center"/>
    </xf>
    <xf numFmtId="0" fontId="7" fillId="0" borderId="56" xfId="118" applyFont="1" applyBorder="1" applyAlignment="1">
      <alignment vertical="center" wrapText="1"/>
    </xf>
    <xf numFmtId="49" fontId="7" fillId="0" borderId="44" xfId="118" applyNumberFormat="1" applyFont="1" applyBorder="1" applyAlignment="1">
      <alignment horizontal="center" vertical="center" wrapText="1"/>
    </xf>
    <xf numFmtId="4" fontId="7" fillId="0" borderId="60" xfId="118" applyNumberFormat="1" applyFont="1" applyBorder="1" applyAlignment="1">
      <alignment vertical="center"/>
    </xf>
    <xf numFmtId="4" fontId="7" fillId="0" borderId="15" xfId="118" applyNumberFormat="1" applyFont="1" applyBorder="1" applyAlignment="1">
      <alignment vertical="center"/>
    </xf>
    <xf numFmtId="10" fontId="7" fillId="0" borderId="38" xfId="118" applyNumberFormat="1" applyFont="1" applyBorder="1" applyAlignment="1">
      <alignment vertical="center"/>
    </xf>
    <xf numFmtId="4" fontId="11" fillId="0" borderId="0" xfId="118" applyNumberFormat="1" applyFont="1"/>
    <xf numFmtId="0" fontId="12" fillId="0" borderId="46" xfId="118" applyFont="1" applyBorder="1" applyAlignment="1">
      <alignment vertical="center" wrapText="1"/>
    </xf>
    <xf numFmtId="0" fontId="7" fillId="0" borderId="22" xfId="118" applyFont="1" applyBorder="1" applyAlignment="1">
      <alignment vertical="center" wrapText="1"/>
    </xf>
    <xf numFmtId="0" fontId="11" fillId="0" borderId="0" xfId="118" applyFont="1"/>
    <xf numFmtId="0" fontId="7" fillId="52" borderId="50" xfId="118" applyFont="1" applyFill="1" applyBorder="1" applyAlignment="1">
      <alignment vertical="center"/>
    </xf>
    <xf numFmtId="49" fontId="7" fillId="52" borderId="50" xfId="118" applyNumberFormat="1" applyFont="1" applyFill="1" applyBorder="1" applyAlignment="1">
      <alignment horizontal="center" vertical="center"/>
    </xf>
    <xf numFmtId="4" fontId="7" fillId="52" borderId="50" xfId="118" applyNumberFormat="1" applyFont="1" applyFill="1" applyBorder="1" applyAlignment="1">
      <alignment vertical="center"/>
    </xf>
    <xf numFmtId="4" fontId="7" fillId="52" borderId="10" xfId="118" applyNumberFormat="1" applyFont="1" applyFill="1" applyBorder="1" applyAlignment="1">
      <alignment vertical="center"/>
    </xf>
    <xf numFmtId="4" fontId="7" fillId="52" borderId="32" xfId="118" applyNumberFormat="1" applyFont="1" applyFill="1" applyBorder="1" applyAlignment="1">
      <alignment vertical="center"/>
    </xf>
    <xf numFmtId="10" fontId="7" fillId="52" borderId="11" xfId="118" applyNumberFormat="1" applyFont="1" applyFill="1" applyBorder="1" applyAlignment="1">
      <alignment vertical="center"/>
    </xf>
    <xf numFmtId="4" fontId="5" fillId="0" borderId="0" xfId="118" applyNumberFormat="1" applyAlignment="1">
      <alignment vertical="center"/>
    </xf>
    <xf numFmtId="4" fontId="12" fillId="0" borderId="58" xfId="118" applyNumberFormat="1" applyFont="1" applyBorder="1"/>
    <xf numFmtId="4" fontId="8" fillId="0" borderId="0" xfId="0" applyNumberFormat="1" applyFont="1" applyAlignment="1">
      <alignment vertical="center"/>
    </xf>
    <xf numFmtId="4" fontId="12" fillId="0" borderId="52" xfId="118" applyNumberFormat="1" applyFont="1" applyBorder="1"/>
    <xf numFmtId="4" fontId="127" fillId="0" borderId="0" xfId="0" applyNumberFormat="1" applyFont="1"/>
    <xf numFmtId="0" fontId="12" fillId="0" borderId="61" xfId="118" applyFont="1" applyBorder="1"/>
    <xf numFmtId="4" fontId="12" fillId="0" borderId="82" xfId="118" applyNumberFormat="1" applyFont="1" applyBorder="1"/>
    <xf numFmtId="4" fontId="12" fillId="0" borderId="36" xfId="118" applyNumberFormat="1" applyFont="1" applyBorder="1"/>
    <xf numFmtId="10" fontId="12" fillId="0" borderId="37" xfId="118" applyNumberFormat="1" applyFont="1" applyBorder="1" applyAlignment="1">
      <alignment horizontal="center" vertical="center"/>
    </xf>
    <xf numFmtId="4" fontId="7" fillId="0" borderId="53" xfId="118" applyNumberFormat="1" applyFont="1" applyBorder="1"/>
    <xf numFmtId="0" fontId="8" fillId="0" borderId="29" xfId="118" applyFont="1" applyBorder="1" applyAlignment="1">
      <alignment horizontal="center"/>
    </xf>
    <xf numFmtId="0" fontId="12" fillId="0" borderId="44" xfId="118" applyFont="1" applyBorder="1" applyAlignment="1">
      <alignment horizontal="left" wrapText="1"/>
    </xf>
    <xf numFmtId="4" fontId="12" fillId="0" borderId="46" xfId="118" applyNumberFormat="1" applyFont="1" applyBorder="1" applyAlignment="1">
      <alignment horizontal="right"/>
    </xf>
    <xf numFmtId="4" fontId="12" fillId="0" borderId="14" xfId="118" applyNumberFormat="1" applyFont="1" applyBorder="1" applyAlignment="1">
      <alignment horizontal="right"/>
    </xf>
    <xf numFmtId="4" fontId="12" fillId="0" borderId="16" xfId="118" applyNumberFormat="1" applyFont="1" applyBorder="1" applyAlignment="1">
      <alignment horizontal="right"/>
    </xf>
    <xf numFmtId="4" fontId="12" fillId="0" borderId="46" xfId="118" applyNumberFormat="1" applyFont="1" applyBorder="1"/>
    <xf numFmtId="4" fontId="12" fillId="0" borderId="16" xfId="118" applyNumberFormat="1" applyFont="1" applyBorder="1"/>
    <xf numFmtId="4" fontId="12" fillId="0" borderId="44" xfId="118" applyNumberFormat="1" applyFont="1" applyBorder="1"/>
    <xf numFmtId="4" fontId="12" fillId="0" borderId="62" xfId="118" applyNumberFormat="1" applyFont="1" applyBorder="1"/>
    <xf numFmtId="4" fontId="12" fillId="0" borderId="44" xfId="118" applyNumberFormat="1" applyFont="1" applyBorder="1" applyAlignment="1">
      <alignment horizontal="right"/>
    </xf>
    <xf numFmtId="4" fontId="12" fillId="0" borderId="15" xfId="118" applyNumberFormat="1" applyFont="1" applyBorder="1" applyAlignment="1">
      <alignment horizontal="right"/>
    </xf>
    <xf numFmtId="4" fontId="12" fillId="0" borderId="62" xfId="118" applyNumberFormat="1" applyFont="1" applyBorder="1" applyAlignment="1">
      <alignment horizontal="right"/>
    </xf>
    <xf numFmtId="0" fontId="5" fillId="0" borderId="46" xfId="118" applyBorder="1"/>
    <xf numFmtId="4" fontId="12" fillId="0" borderId="52" xfId="118" applyNumberFormat="1" applyFont="1" applyBorder="1" applyAlignment="1">
      <alignment horizontal="right"/>
    </xf>
    <xf numFmtId="0" fontId="5" fillId="0" borderId="44" xfId="118" applyBorder="1"/>
    <xf numFmtId="0" fontId="0" fillId="0" borderId="47" xfId="0" applyBorder="1"/>
    <xf numFmtId="0" fontId="7" fillId="0" borderId="21" xfId="118" applyFont="1" applyBorder="1"/>
    <xf numFmtId="4" fontId="7" fillId="0" borderId="50" xfId="118" applyNumberFormat="1" applyFont="1" applyBorder="1"/>
    <xf numFmtId="166" fontId="8" fillId="0" borderId="12" xfId="118" applyNumberFormat="1" applyFont="1" applyBorder="1" applyAlignment="1">
      <alignment horizontal="center" vertical="center"/>
    </xf>
    <xf numFmtId="4" fontId="7" fillId="52" borderId="40" xfId="118" applyNumberFormat="1" applyFont="1" applyFill="1" applyBorder="1"/>
    <xf numFmtId="10" fontId="7" fillId="0" borderId="0" xfId="118" applyNumberFormat="1" applyFont="1" applyAlignment="1">
      <alignment horizontal="center" vertical="center"/>
    </xf>
    <xf numFmtId="0" fontId="5" fillId="0" borderId="0" xfId="118" applyAlignment="1">
      <alignment vertical="top" wrapText="1"/>
    </xf>
    <xf numFmtId="0" fontId="87" fillId="0" borderId="0" xfId="114" applyFont="1"/>
    <xf numFmtId="0" fontId="11" fillId="0" borderId="0" xfId="114" applyFont="1" applyAlignment="1">
      <alignment horizontal="center"/>
    </xf>
    <xf numFmtId="0" fontId="11" fillId="0" borderId="12" xfId="114" applyFont="1" applyBorder="1" applyAlignment="1">
      <alignment horizontal="center"/>
    </xf>
    <xf numFmtId="0" fontId="11" fillId="0" borderId="10" xfId="114" applyFont="1" applyBorder="1" applyAlignment="1">
      <alignment horizontal="center"/>
    </xf>
    <xf numFmtId="0" fontId="11" fillId="0" borderId="29" xfId="114" applyFont="1" applyBorder="1" applyAlignment="1">
      <alignment horizontal="center"/>
    </xf>
    <xf numFmtId="169" fontId="87" fillId="0" borderId="0" xfId="114" applyNumberFormat="1" applyFont="1"/>
    <xf numFmtId="0" fontId="6" fillId="0" borderId="52" xfId="114" applyFont="1" applyBorder="1" applyAlignment="1">
      <alignment horizontal="center"/>
    </xf>
    <xf numFmtId="0" fontId="6" fillId="0" borderId="36" xfId="114" applyFont="1" applyBorder="1" applyAlignment="1">
      <alignment horizontal="center"/>
    </xf>
    <xf numFmtId="0" fontId="6" fillId="0" borderId="66" xfId="114" applyFont="1" applyBorder="1" applyAlignment="1">
      <alignment horizontal="left"/>
    </xf>
    <xf numFmtId="4" fontId="6" fillId="0" borderId="36" xfId="114" applyNumberFormat="1" applyFont="1" applyBorder="1" applyAlignment="1">
      <alignment horizontal="right"/>
    </xf>
    <xf numFmtId="0" fontId="89" fillId="0" borderId="0" xfId="114" applyFont="1"/>
    <xf numFmtId="4" fontId="89" fillId="0" borderId="0" xfId="114" applyNumberFormat="1" applyFont="1"/>
    <xf numFmtId="169" fontId="89" fillId="0" borderId="0" xfId="114" applyNumberFormat="1" applyFont="1"/>
    <xf numFmtId="169" fontId="166" fillId="0" borderId="0" xfId="114" applyNumberFormat="1" applyFont="1"/>
    <xf numFmtId="169" fontId="127" fillId="0" borderId="0" xfId="114" applyNumberFormat="1" applyFont="1"/>
    <xf numFmtId="0" fontId="7" fillId="0" borderId="12" xfId="114" applyFont="1" applyBorder="1" applyAlignment="1">
      <alignment horizontal="center"/>
    </xf>
    <xf numFmtId="4" fontId="7" fillId="0" borderId="10" xfId="114" applyNumberFormat="1" applyFont="1" applyBorder="1"/>
    <xf numFmtId="169" fontId="5" fillId="0" borderId="0" xfId="114" applyNumberFormat="1"/>
    <xf numFmtId="0" fontId="7" fillId="0" borderId="0" xfId="114" applyFont="1" applyAlignment="1">
      <alignment horizontal="center"/>
    </xf>
    <xf numFmtId="0" fontId="7" fillId="0" borderId="0" xfId="114" applyFont="1" applyAlignment="1">
      <alignment horizontal="left"/>
    </xf>
    <xf numFmtId="0" fontId="7" fillId="0" borderId="10" xfId="114" applyFont="1" applyBorder="1" applyAlignment="1">
      <alignment horizontal="center"/>
    </xf>
    <xf numFmtId="0" fontId="7" fillId="0" borderId="29" xfId="114" applyFont="1" applyBorder="1" applyAlignment="1">
      <alignment horizontal="center"/>
    </xf>
    <xf numFmtId="0" fontId="6" fillId="0" borderId="60" xfId="114" applyFont="1" applyBorder="1" applyAlignment="1">
      <alignment horizontal="center"/>
    </xf>
    <xf numFmtId="0" fontId="6" fillId="0" borderId="14" xfId="114" applyFont="1" applyBorder="1" applyAlignment="1">
      <alignment horizontal="center"/>
    </xf>
    <xf numFmtId="0" fontId="6" fillId="0" borderId="62" xfId="114" applyFont="1" applyBorder="1" applyAlignment="1">
      <alignment horizontal="left"/>
    </xf>
    <xf numFmtId="4" fontId="6" fillId="0" borderId="14" xfId="114" applyNumberFormat="1" applyFont="1" applyBorder="1" applyAlignment="1">
      <alignment horizontal="right"/>
    </xf>
    <xf numFmtId="0" fontId="6" fillId="56" borderId="60" xfId="114" applyFont="1" applyFill="1" applyBorder="1" applyAlignment="1">
      <alignment horizontal="center"/>
    </xf>
    <xf numFmtId="0" fontId="6" fillId="56" borderId="14" xfId="114" applyFont="1" applyFill="1" applyBorder="1" applyAlignment="1">
      <alignment horizontal="center"/>
    </xf>
    <xf numFmtId="0" fontId="6" fillId="56" borderId="62" xfId="114" applyFont="1" applyFill="1" applyBorder="1" applyAlignment="1">
      <alignment horizontal="left"/>
    </xf>
    <xf numFmtId="4" fontId="6" fillId="56" borderId="15" xfId="114" applyNumberFormat="1" applyFont="1" applyFill="1" applyBorder="1" applyAlignment="1">
      <alignment horizontal="right"/>
    </xf>
    <xf numFmtId="0" fontId="6" fillId="56" borderId="35" xfId="114" applyFont="1" applyFill="1" applyBorder="1" applyAlignment="1">
      <alignment horizontal="center"/>
    </xf>
    <xf numFmtId="0" fontId="114" fillId="0" borderId="0" xfId="114" applyFont="1"/>
    <xf numFmtId="4" fontId="101" fillId="0" borderId="0" xfId="114" applyNumberFormat="1" applyFont="1"/>
    <xf numFmtId="0" fontId="6" fillId="0" borderId="16" xfId="114" applyFont="1" applyBorder="1" applyAlignment="1">
      <alignment horizontal="left"/>
    </xf>
    <xf numFmtId="0" fontId="6" fillId="56" borderId="16" xfId="114" applyFont="1" applyFill="1" applyBorder="1" applyAlignment="1">
      <alignment horizontal="left"/>
    </xf>
    <xf numFmtId="4" fontId="6" fillId="56" borderId="14" xfId="114" applyNumberFormat="1" applyFont="1" applyFill="1" applyBorder="1" applyAlignment="1">
      <alignment horizontal="right"/>
    </xf>
    <xf numFmtId="0" fontId="6" fillId="60" borderId="31" xfId="114" applyFont="1" applyFill="1" applyBorder="1" applyAlignment="1">
      <alignment horizontal="center" vertical="center"/>
    </xf>
    <xf numFmtId="0" fontId="6" fillId="60" borderId="35" xfId="114" applyFont="1" applyFill="1" applyBorder="1" applyAlignment="1">
      <alignment horizontal="center" vertical="center"/>
    </xf>
    <xf numFmtId="0" fontId="6" fillId="60" borderId="70" xfId="114" applyFont="1" applyFill="1" applyBorder="1" applyAlignment="1">
      <alignment horizontal="left" vertical="center"/>
    </xf>
    <xf numFmtId="4" fontId="6" fillId="60" borderId="35" xfId="114" applyNumberFormat="1" applyFont="1" applyFill="1" applyBorder="1" applyAlignment="1">
      <alignment horizontal="right" vertical="center"/>
    </xf>
    <xf numFmtId="4" fontId="6" fillId="0" borderId="0" xfId="114" applyNumberFormat="1" applyFont="1" applyAlignment="1">
      <alignment horizontal="center" vertical="center" wrapText="1"/>
    </xf>
    <xf numFmtId="0" fontId="11" fillId="0" borderId="71" xfId="114" applyFont="1" applyBorder="1" applyAlignment="1">
      <alignment horizontal="center"/>
    </xf>
    <xf numFmtId="0" fontId="6" fillId="60" borderId="52" xfId="114" applyFont="1" applyFill="1" applyBorder="1" applyAlignment="1">
      <alignment horizontal="center"/>
    </xf>
    <xf numFmtId="0" fontId="6" fillId="60" borderId="14" xfId="114" applyFont="1" applyFill="1" applyBorder="1" applyAlignment="1">
      <alignment horizontal="center"/>
    </xf>
    <xf numFmtId="0" fontId="6" fillId="60" borderId="16" xfId="114" applyFont="1" applyFill="1" applyBorder="1" applyAlignment="1">
      <alignment horizontal="left"/>
    </xf>
    <xf numFmtId="4" fontId="6" fillId="60" borderId="14" xfId="114" applyNumberFormat="1" applyFont="1" applyFill="1" applyBorder="1" applyAlignment="1">
      <alignment horizontal="right"/>
    </xf>
    <xf numFmtId="0" fontId="6" fillId="60" borderId="14" xfId="114" applyFont="1" applyFill="1" applyBorder="1" applyAlignment="1">
      <alignment horizontal="left"/>
    </xf>
    <xf numFmtId="0" fontId="6" fillId="0" borderId="31" xfId="114" applyFont="1" applyBorder="1" applyAlignment="1">
      <alignment horizontal="center" vertical="center"/>
    </xf>
    <xf numFmtId="0" fontId="6" fillId="0" borderId="35" xfId="114" applyFont="1" applyBorder="1" applyAlignment="1">
      <alignment horizontal="center" vertical="center"/>
    </xf>
    <xf numFmtId="0" fontId="6" fillId="0" borderId="70" xfId="114" applyFont="1" applyBorder="1" applyAlignment="1">
      <alignment horizontal="left" wrapText="1"/>
    </xf>
    <xf numFmtId="4" fontId="6" fillId="0" borderId="35" xfId="114" applyNumberFormat="1" applyFont="1" applyBorder="1" applyAlignment="1">
      <alignment horizontal="right"/>
    </xf>
    <xf numFmtId="0" fontId="6" fillId="0" borderId="0" xfId="114" applyFont="1" applyAlignment="1">
      <alignment horizontal="right"/>
    </xf>
    <xf numFmtId="0" fontId="122" fillId="0" borderId="0" xfId="114" applyFont="1" applyAlignment="1">
      <alignment horizontal="left"/>
    </xf>
    <xf numFmtId="4" fontId="6" fillId="0" borderId="0" xfId="114" applyNumberFormat="1" applyFont="1" applyAlignment="1">
      <alignment horizontal="right"/>
    </xf>
    <xf numFmtId="49" fontId="6" fillId="0" borderId="52" xfId="114" applyNumberFormat="1" applyFont="1" applyBorder="1" applyAlignment="1">
      <alignment horizontal="center"/>
    </xf>
    <xf numFmtId="0" fontId="6" fillId="0" borderId="16" xfId="114" applyFont="1" applyBorder="1"/>
    <xf numFmtId="4" fontId="6" fillId="0" borderId="14" xfId="114" applyNumberFormat="1" applyFont="1" applyBorder="1"/>
    <xf numFmtId="49" fontId="6" fillId="56" borderId="31" xfId="114" applyNumberFormat="1" applyFont="1" applyFill="1" applyBorder="1" applyAlignment="1">
      <alignment horizontal="center"/>
    </xf>
    <xf numFmtId="0" fontId="6" fillId="56" borderId="70" xfId="114" applyFont="1" applyFill="1" applyBorder="1"/>
    <xf numFmtId="4" fontId="6" fillId="60" borderId="35" xfId="114" applyNumberFormat="1" applyFont="1" applyFill="1" applyBorder="1"/>
    <xf numFmtId="4" fontId="7" fillId="0" borderId="10" xfId="114" applyNumberFormat="1" applyFont="1" applyBorder="1" applyAlignment="1">
      <alignment horizontal="right"/>
    </xf>
    <xf numFmtId="4" fontId="7" fillId="0" borderId="0" xfId="114" applyNumberFormat="1" applyFont="1" applyAlignment="1">
      <alignment horizontal="right"/>
    </xf>
    <xf numFmtId="4" fontId="55" fillId="0" borderId="0" xfId="114" applyNumberFormat="1" applyFont="1" applyAlignment="1">
      <alignment horizontal="center" vertical="center" wrapText="1"/>
    </xf>
    <xf numFmtId="49" fontId="6" fillId="0" borderId="31" xfId="114" applyNumberFormat="1" applyFont="1" applyBorder="1" applyAlignment="1">
      <alignment horizontal="center"/>
    </xf>
    <xf numFmtId="0" fontId="6" fillId="0" borderId="35" xfId="114" applyFont="1" applyBorder="1" applyAlignment="1">
      <alignment horizontal="center"/>
    </xf>
    <xf numFmtId="0" fontId="6" fillId="0" borderId="70" xfId="114" applyFont="1" applyBorder="1"/>
    <xf numFmtId="4" fontId="6" fillId="0" borderId="35" xfId="114" applyNumberFormat="1" applyFont="1" applyBorder="1"/>
    <xf numFmtId="4" fontId="6" fillId="0" borderId="33" xfId="114" applyNumberFormat="1" applyFont="1" applyBorder="1"/>
    <xf numFmtId="4" fontId="5" fillId="0" borderId="0" xfId="114" applyNumberFormat="1"/>
    <xf numFmtId="49" fontId="6" fillId="0" borderId="14" xfId="114" applyNumberFormat="1" applyFont="1" applyBorder="1" applyAlignment="1">
      <alignment horizontal="center"/>
    </xf>
    <xf numFmtId="49" fontId="6" fillId="0" borderId="16" xfId="114" applyNumberFormat="1" applyFont="1" applyBorder="1" applyAlignment="1">
      <alignment horizontal="center"/>
    </xf>
    <xf numFmtId="0" fontId="6" fillId="0" borderId="31" xfId="114" applyFont="1" applyBorder="1" applyAlignment="1">
      <alignment horizontal="center"/>
    </xf>
    <xf numFmtId="49" fontId="6" fillId="0" borderId="70" xfId="114" applyNumberFormat="1" applyFont="1" applyBorder="1" applyAlignment="1">
      <alignment horizontal="center"/>
    </xf>
    <xf numFmtId="0" fontId="6" fillId="0" borderId="70" xfId="114" applyFont="1" applyBorder="1" applyAlignment="1">
      <alignment horizontal="left"/>
    </xf>
    <xf numFmtId="0" fontId="7" fillId="0" borderId="29" xfId="114" applyFont="1" applyBorder="1"/>
    <xf numFmtId="4" fontId="6" fillId="0" borderId="15" xfId="114" applyNumberFormat="1" applyFont="1" applyBorder="1" applyAlignment="1">
      <alignment horizontal="right"/>
    </xf>
    <xf numFmtId="0" fontId="7" fillId="0" borderId="0" xfId="114" applyFont="1"/>
    <xf numFmtId="0" fontId="7" fillId="53" borderId="32" xfId="0" applyFont="1" applyFill="1" applyBorder="1" applyAlignment="1">
      <alignment horizontal="left"/>
    </xf>
    <xf numFmtId="0" fontId="50" fillId="0" borderId="60" xfId="0" applyFont="1" applyFill="1" applyBorder="1" applyAlignment="1">
      <alignment horizontal="center" wrapText="1"/>
    </xf>
    <xf numFmtId="0" fontId="50" fillId="0" borderId="52" xfId="0" applyFont="1" applyFill="1" applyBorder="1" applyAlignment="1">
      <alignment horizontal="center" wrapText="1"/>
    </xf>
    <xf numFmtId="4" fontId="12" fillId="53" borderId="39" xfId="0" applyNumberFormat="1" applyFont="1" applyFill="1" applyBorder="1"/>
    <xf numFmtId="4" fontId="12" fillId="53" borderId="38" xfId="0" applyNumberFormat="1" applyFont="1" applyFill="1" applyBorder="1"/>
    <xf numFmtId="4" fontId="165" fillId="0" borderId="0" xfId="0" applyNumberFormat="1" applyFont="1" applyBorder="1" applyAlignment="1">
      <alignment horizontal="right" vertical="center" indent="1"/>
    </xf>
    <xf numFmtId="171" fontId="7" fillId="0" borderId="0" xfId="53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left"/>
    </xf>
    <xf numFmtId="0" fontId="54" fillId="0" borderId="0" xfId="0" applyFont="1" applyFill="1" applyAlignment="1">
      <alignment horizontal="left" indent="1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49" fontId="54" fillId="0" borderId="0" xfId="0" applyNumberFormat="1" applyFont="1" applyFill="1" applyAlignment="1">
      <alignment horizontal="left" indent="1"/>
    </xf>
    <xf numFmtId="49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left" indent="1"/>
    </xf>
    <xf numFmtId="0" fontId="27" fillId="0" borderId="50" xfId="54" applyFont="1" applyFill="1" applyBorder="1" applyAlignment="1">
      <alignment horizontal="left"/>
    </xf>
    <xf numFmtId="0" fontId="27" fillId="0" borderId="32" xfId="54" applyFont="1" applyFill="1" applyBorder="1" applyAlignment="1">
      <alignment horizontal="left"/>
    </xf>
    <xf numFmtId="0" fontId="24" fillId="0" borderId="59" xfId="54" applyFont="1" applyFill="1" applyBorder="1" applyAlignment="1">
      <alignment horizontal="left"/>
    </xf>
    <xf numFmtId="0" fontId="24" fillId="0" borderId="78" xfId="54" applyFont="1" applyFill="1" applyBorder="1" applyAlignment="1">
      <alignment horizontal="left"/>
    </xf>
    <xf numFmtId="0" fontId="19" fillId="0" borderId="15" xfId="54" applyFont="1" applyFill="1" applyBorder="1" applyAlignment="1">
      <alignment horizontal="left"/>
    </xf>
    <xf numFmtId="0" fontId="19" fillId="0" borderId="62" xfId="54" applyFont="1" applyFill="1" applyBorder="1" applyAlignment="1">
      <alignment horizontal="left"/>
    </xf>
    <xf numFmtId="0" fontId="19" fillId="0" borderId="14" xfId="54" applyFont="1" applyFill="1" applyBorder="1" applyAlignment="1">
      <alignment horizontal="left"/>
    </xf>
    <xf numFmtId="0" fontId="19" fillId="0" borderId="16" xfId="54" applyFont="1" applyFill="1" applyBorder="1" applyAlignment="1">
      <alignment horizontal="left"/>
    </xf>
    <xf numFmtId="0" fontId="24" fillId="0" borderId="0" xfId="54" applyFont="1" applyFill="1" applyAlignment="1">
      <alignment horizontal="right"/>
    </xf>
    <xf numFmtId="0" fontId="22" fillId="0" borderId="0" xfId="54" applyFont="1" applyFill="1" applyBorder="1" applyAlignment="1">
      <alignment horizontal="center"/>
    </xf>
    <xf numFmtId="0" fontId="23" fillId="0" borderId="0" xfId="54" applyFont="1" applyFill="1" applyBorder="1" applyAlignment="1">
      <alignment horizontal="center"/>
    </xf>
    <xf numFmtId="0" fontId="24" fillId="0" borderId="0" xfId="54" applyFont="1" applyFill="1" applyBorder="1" applyAlignment="1">
      <alignment horizontal="center"/>
    </xf>
    <xf numFmtId="0" fontId="25" fillId="0" borderId="57" xfId="54" applyFont="1" applyFill="1" applyBorder="1" applyAlignment="1">
      <alignment horizontal="center"/>
    </xf>
    <xf numFmtId="0" fontId="19" fillId="0" borderId="86" xfId="54" applyFont="1" applyFill="1" applyBorder="1" applyAlignment="1">
      <alignment horizontal="center"/>
    </xf>
    <xf numFmtId="0" fontId="27" fillId="52" borderId="50" xfId="54" applyFont="1" applyFill="1" applyBorder="1" applyAlignment="1">
      <alignment horizontal="left" vertical="center"/>
    </xf>
    <xf numFmtId="0" fontId="27" fillId="52" borderId="32" xfId="54" applyFont="1" applyFill="1" applyBorder="1" applyAlignment="1">
      <alignment horizontal="left" vertical="center"/>
    </xf>
    <xf numFmtId="0" fontId="19" fillId="0" borderId="82" xfId="54" applyFont="1" applyFill="1" applyBorder="1" applyAlignment="1">
      <alignment horizontal="center" vertical="top"/>
    </xf>
    <xf numFmtId="0" fontId="19" fillId="0" borderId="60" xfId="54" applyFont="1" applyFill="1" applyBorder="1" applyAlignment="1">
      <alignment horizontal="center" vertical="top"/>
    </xf>
    <xf numFmtId="0" fontId="24" fillId="0" borderId="14" xfId="54" applyFont="1" applyFill="1" applyBorder="1" applyAlignment="1">
      <alignment horizontal="left"/>
    </xf>
    <xf numFmtId="0" fontId="24" fillId="0" borderId="16" xfId="54" applyFont="1" applyFill="1" applyBorder="1" applyAlignment="1">
      <alignment horizontal="left"/>
    </xf>
    <xf numFmtId="0" fontId="19" fillId="0" borderId="40" xfId="54" applyFont="1" applyFill="1" applyBorder="1" applyAlignment="1">
      <alignment horizontal="center" vertical="top"/>
    </xf>
    <xf numFmtId="0" fontId="13" fillId="0" borderId="17" xfId="54" applyFont="1" applyFill="1" applyBorder="1" applyAlignment="1">
      <alignment horizontal="left"/>
    </xf>
    <xf numFmtId="0" fontId="13" fillId="0" borderId="76" xfId="54" applyFont="1" applyFill="1" applyBorder="1" applyAlignment="1">
      <alignment horizontal="left"/>
    </xf>
    <xf numFmtId="0" fontId="6" fillId="0" borderId="29" xfId="51" applyFont="1" applyBorder="1" applyAlignment="1">
      <alignment horizontal="left" vertical="center"/>
    </xf>
    <xf numFmtId="0" fontId="6" fillId="0" borderId="73" xfId="51" applyFont="1" applyBorder="1" applyAlignment="1">
      <alignment horizontal="left" vertical="center"/>
    </xf>
    <xf numFmtId="0" fontId="19" fillId="0" borderId="31" xfId="54" applyFont="1" applyFill="1" applyBorder="1" applyAlignment="1">
      <alignment horizontal="center" vertical="top"/>
    </xf>
    <xf numFmtId="0" fontId="19" fillId="0" borderId="18" xfId="54" applyFont="1" applyFill="1" applyBorder="1" applyAlignment="1">
      <alignment horizontal="center" vertical="top"/>
    </xf>
    <xf numFmtId="0" fontId="13" fillId="0" borderId="62" xfId="54" applyFont="1" applyFill="1" applyBorder="1" applyAlignment="1">
      <alignment horizontal="left"/>
    </xf>
    <xf numFmtId="0" fontId="13" fillId="0" borderId="45" xfId="54" applyFont="1" applyFill="1" applyBorder="1" applyAlignment="1">
      <alignment horizontal="left"/>
    </xf>
    <xf numFmtId="0" fontId="13" fillId="0" borderId="16" xfId="54" applyFont="1" applyFill="1" applyBorder="1" applyAlignment="1">
      <alignment horizontal="left"/>
    </xf>
    <xf numFmtId="0" fontId="13" fillId="0" borderId="47" xfId="54" applyFont="1" applyFill="1" applyBorder="1" applyAlignment="1">
      <alignment horizontal="left"/>
    </xf>
    <xf numFmtId="0" fontId="13" fillId="0" borderId="70" xfId="51" applyFont="1" applyBorder="1" applyAlignment="1">
      <alignment horizontal="left"/>
    </xf>
    <xf numFmtId="0" fontId="13" fillId="0" borderId="0" xfId="51" applyFont="1" applyBorder="1" applyAlignment="1">
      <alignment horizontal="left"/>
    </xf>
    <xf numFmtId="0" fontId="13" fillId="0" borderId="14" xfId="54" applyFont="1" applyFill="1" applyBorder="1" applyAlignment="1">
      <alignment horizontal="left"/>
    </xf>
    <xf numFmtId="0" fontId="6" fillId="0" borderId="27" xfId="54" applyFont="1" applyFill="1" applyBorder="1" applyAlignment="1">
      <alignment horizontal="left" vertical="center"/>
    </xf>
    <xf numFmtId="0" fontId="6" fillId="0" borderId="72" xfId="54" applyFont="1" applyFill="1" applyBorder="1" applyAlignment="1">
      <alignment horizontal="left" vertical="center"/>
    </xf>
    <xf numFmtId="0" fontId="11" fillId="52" borderId="50" xfId="54" applyFont="1" applyFill="1" applyBorder="1" applyAlignment="1">
      <alignment horizontal="left" vertical="center"/>
    </xf>
    <xf numFmtId="0" fontId="11" fillId="52" borderId="32" xfId="54" applyFont="1" applyFill="1" applyBorder="1" applyAlignment="1">
      <alignment horizontal="left" vertical="center"/>
    </xf>
    <xf numFmtId="0" fontId="13" fillId="0" borderId="0" xfId="54" applyFont="1" applyFill="1" applyBorder="1" applyAlignment="1">
      <alignment horizontal="left"/>
    </xf>
    <xf numFmtId="0" fontId="13" fillId="0" borderId="47" xfId="54" applyFont="1" applyFill="1" applyBorder="1" applyAlignment="1">
      <alignment horizontal="left" vertical="center"/>
    </xf>
    <xf numFmtId="0" fontId="13" fillId="0" borderId="66" xfId="54" applyFont="1" applyFill="1" applyBorder="1" applyAlignment="1">
      <alignment horizontal="left"/>
    </xf>
    <xf numFmtId="0" fontId="13" fillId="0" borderId="65" xfId="54" applyFont="1" applyFill="1" applyBorder="1" applyAlignment="1">
      <alignment horizontal="left"/>
    </xf>
    <xf numFmtId="0" fontId="11" fillId="0" borderId="50" xfId="54" applyFont="1" applyFill="1" applyBorder="1" applyAlignment="1">
      <alignment horizontal="left" vertical="center"/>
    </xf>
    <xf numFmtId="0" fontId="11" fillId="0" borderId="32" xfId="54" applyFont="1" applyFill="1" applyBorder="1" applyAlignment="1">
      <alignment horizontal="left" vertical="center"/>
    </xf>
    <xf numFmtId="0" fontId="11" fillId="0" borderId="29" xfId="54" applyFont="1" applyFill="1" applyBorder="1" applyAlignment="1">
      <alignment horizontal="left" vertical="center"/>
    </xf>
    <xf numFmtId="0" fontId="13" fillId="0" borderId="67" xfId="54" applyFont="1" applyFill="1" applyBorder="1" applyAlignment="1">
      <alignment horizontal="left"/>
    </xf>
    <xf numFmtId="0" fontId="11" fillId="0" borderId="10" xfId="54" applyFont="1" applyFill="1" applyBorder="1" applyAlignment="1">
      <alignment horizontal="left" vertical="center"/>
    </xf>
    <xf numFmtId="0" fontId="13" fillId="0" borderId="45" xfId="54" applyFont="1" applyFill="1" applyBorder="1" applyAlignment="1">
      <alignment horizontal="left" vertical="center"/>
    </xf>
    <xf numFmtId="0" fontId="13" fillId="0" borderId="29" xfId="54" applyFont="1" applyFill="1" applyBorder="1" applyAlignment="1">
      <alignment horizontal="left"/>
    </xf>
    <xf numFmtId="0" fontId="13" fillId="0" borderId="32" xfId="54" applyFont="1" applyFill="1" applyBorder="1" applyAlignment="1">
      <alignment horizontal="left"/>
    </xf>
    <xf numFmtId="0" fontId="11" fillId="0" borderId="10" xfId="54" applyFont="1" applyFill="1" applyBorder="1" applyAlignment="1">
      <alignment vertical="center" wrapText="1"/>
    </xf>
    <xf numFmtId="0" fontId="25" fillId="0" borderId="50" xfId="54" applyFont="1" applyBorder="1" applyAlignment="1">
      <alignment horizontal="center" vertical="center"/>
    </xf>
    <xf numFmtId="0" fontId="19" fillId="0" borderId="32" xfId="54" applyFont="1" applyBorder="1" applyAlignment="1">
      <alignment horizontal="center" vertical="center"/>
    </xf>
    <xf numFmtId="0" fontId="13" fillId="0" borderId="15" xfId="54" applyFont="1" applyFill="1" applyBorder="1" applyAlignment="1">
      <alignment horizontal="left" vertical="center"/>
    </xf>
    <xf numFmtId="0" fontId="22" fillId="0" borderId="0" xfId="54" applyFont="1" applyAlignment="1">
      <alignment horizontal="center" vertical="center"/>
    </xf>
    <xf numFmtId="0" fontId="23" fillId="0" borderId="0" xfId="54" applyFont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5" fillId="0" borderId="0" xfId="54" applyFont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0" fontId="26" fillId="0" borderId="54" xfId="54" applyFont="1" applyFill="1" applyBorder="1" applyAlignment="1">
      <alignment horizontal="center" vertical="center"/>
    </xf>
    <xf numFmtId="0" fontId="19" fillId="0" borderId="0" xfId="54" applyFont="1" applyFill="1" applyBorder="1" applyAlignment="1">
      <alignment horizontal="left" vertical="center"/>
    </xf>
    <xf numFmtId="0" fontId="19" fillId="0" borderId="45" xfId="54" applyFont="1" applyFill="1" applyBorder="1" applyAlignment="1">
      <alignment horizontal="left" vertical="center"/>
    </xf>
    <xf numFmtId="0" fontId="19" fillId="0" borderId="47" xfId="54" applyFont="1" applyFill="1" applyBorder="1" applyAlignment="1">
      <alignment horizontal="left" vertical="center"/>
    </xf>
    <xf numFmtId="0" fontId="6" fillId="0" borderId="54" xfId="54" applyFont="1" applyFill="1" applyBorder="1" applyAlignment="1">
      <alignment horizontal="center" vertical="center"/>
    </xf>
    <xf numFmtId="0" fontId="6" fillId="0" borderId="26" xfId="54" applyFont="1" applyFill="1" applyBorder="1" applyAlignment="1">
      <alignment horizontal="center" vertical="center"/>
    </xf>
    <xf numFmtId="0" fontId="13" fillId="0" borderId="76" xfId="54" applyFont="1" applyFill="1" applyBorder="1" applyAlignment="1">
      <alignment horizontal="left" vertical="center"/>
    </xf>
    <xf numFmtId="0" fontId="13" fillId="0" borderId="87" xfId="54" applyFont="1" applyFill="1" applyBorder="1" applyAlignment="1">
      <alignment horizontal="left" vertical="center"/>
    </xf>
    <xf numFmtId="0" fontId="11" fillId="0" borderId="29" xfId="54" applyFont="1" applyFill="1" applyBorder="1" applyAlignment="1">
      <alignment horizontal="left" vertical="center" wrapText="1"/>
    </xf>
    <xf numFmtId="0" fontId="11" fillId="0" borderId="32" xfId="54" applyFont="1" applyFill="1" applyBorder="1" applyAlignment="1">
      <alignment horizontal="left" vertical="center" wrapText="1"/>
    </xf>
    <xf numFmtId="0" fontId="11" fillId="0" borderId="53" xfId="54" applyFont="1" applyFill="1" applyBorder="1" applyAlignment="1">
      <alignment horizontal="left" vertical="center" wrapText="1"/>
    </xf>
    <xf numFmtId="0" fontId="13" fillId="0" borderId="0" xfId="54" applyFont="1" applyFill="1" applyBorder="1" applyAlignment="1">
      <alignment horizontal="left" vertical="center"/>
    </xf>
    <xf numFmtId="0" fontId="13" fillId="0" borderId="78" xfId="54" applyFont="1" applyFill="1" applyBorder="1" applyAlignment="1">
      <alignment horizontal="left" vertical="center"/>
    </xf>
    <xf numFmtId="0" fontId="19" fillId="0" borderId="67" xfId="54" applyFont="1" applyFill="1" applyBorder="1" applyAlignment="1">
      <alignment horizontal="left" vertical="center"/>
    </xf>
    <xf numFmtId="0" fontId="13" fillId="0" borderId="78" xfId="54" applyFont="1" applyFill="1" applyBorder="1" applyAlignment="1">
      <alignment horizontal="left"/>
    </xf>
    <xf numFmtId="0" fontId="19" fillId="0" borderId="59" xfId="54" applyFont="1" applyFill="1" applyBorder="1" applyAlignment="1">
      <alignment horizontal="left" vertical="center"/>
    </xf>
    <xf numFmtId="0" fontId="19" fillId="0" borderId="78" xfId="54" applyFont="1" applyFill="1" applyBorder="1" applyAlignment="1">
      <alignment horizontal="left" vertical="center"/>
    </xf>
    <xf numFmtId="0" fontId="19" fillId="0" borderId="65" xfId="54" applyFont="1" applyFill="1" applyBorder="1" applyAlignment="1">
      <alignment horizontal="left" vertical="center"/>
    </xf>
    <xf numFmtId="0" fontId="11" fillId="0" borderId="53" xfId="54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49" fontId="8" fillId="0" borderId="50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0" fontId="8" fillId="52" borderId="50" xfId="0" applyFont="1" applyFill="1" applyBorder="1" applyAlignment="1">
      <alignment horizontal="left" vertical="center"/>
    </xf>
    <xf numFmtId="0" fontId="8" fillId="52" borderId="53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50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49" fontId="8" fillId="0" borderId="12" xfId="114" applyNumberFormat="1" applyFont="1" applyBorder="1" applyAlignment="1">
      <alignment horizontal="left" vertical="center"/>
    </xf>
    <xf numFmtId="49" fontId="8" fillId="0" borderId="10" xfId="114" applyNumberFormat="1" applyFont="1" applyBorder="1" applyAlignment="1">
      <alignment horizontal="left" vertical="center"/>
    </xf>
    <xf numFmtId="49" fontId="8" fillId="0" borderId="29" xfId="114" applyNumberFormat="1" applyFont="1" applyBorder="1" applyAlignment="1">
      <alignment horizontal="left" vertical="center"/>
    </xf>
    <xf numFmtId="4" fontId="8" fillId="0" borderId="32" xfId="114" applyNumberFormat="1" applyFont="1" applyBorder="1" applyAlignment="1">
      <alignment horizontal="right" vertical="center"/>
    </xf>
    <xf numFmtId="0" fontId="10" fillId="0" borderId="0" xfId="114" applyFont="1" applyAlignment="1">
      <alignment horizontal="center" vertical="center"/>
    </xf>
    <xf numFmtId="0" fontId="11" fillId="0" borderId="0" xfId="114" applyFont="1" applyAlignment="1">
      <alignment horizontal="center" vertical="center"/>
    </xf>
    <xf numFmtId="0" fontId="8" fillId="0" borderId="50" xfId="114" applyFont="1" applyBorder="1" applyAlignment="1">
      <alignment horizontal="center" vertical="center" wrapText="1"/>
    </xf>
    <xf numFmtId="0" fontId="8" fillId="0" borderId="32" xfId="114" applyFont="1" applyBorder="1" applyAlignment="1">
      <alignment horizontal="center" vertical="center" wrapText="1"/>
    </xf>
    <xf numFmtId="0" fontId="8" fillId="0" borderId="53" xfId="114" applyFont="1" applyBorder="1" applyAlignment="1">
      <alignment horizontal="center" vertical="center" wrapText="1"/>
    </xf>
    <xf numFmtId="0" fontId="6" fillId="0" borderId="16" xfId="54" applyFont="1" applyFill="1" applyBorder="1" applyAlignment="1">
      <alignment horizontal="left"/>
    </xf>
    <xf numFmtId="0" fontId="6" fillId="0" borderId="47" xfId="54" applyFont="1" applyFill="1" applyBorder="1" applyAlignment="1">
      <alignment horizontal="left"/>
    </xf>
    <xf numFmtId="0" fontId="12" fillId="0" borderId="0" xfId="54" applyFont="1" applyFill="1" applyAlignment="1">
      <alignment horizontal="left" vertical="top" wrapText="1"/>
    </xf>
    <xf numFmtId="0" fontId="10" fillId="0" borderId="0" xfId="54" applyFont="1" applyAlignment="1">
      <alignment horizontal="center"/>
    </xf>
    <xf numFmtId="0" fontId="11" fillId="0" borderId="16" xfId="54" applyFont="1" applyFill="1" applyBorder="1" applyAlignment="1">
      <alignment horizontal="left" vertical="top" wrapText="1"/>
    </xf>
    <xf numFmtId="0" fontId="11" fillId="0" borderId="47" xfId="54" applyFont="1" applyFill="1" applyBorder="1" applyAlignment="1">
      <alignment horizontal="left" vertical="top" wrapText="1"/>
    </xf>
    <xf numFmtId="0" fontId="6" fillId="0" borderId="16" xfId="54" applyFont="1" applyFill="1" applyBorder="1" applyAlignment="1">
      <alignment horizontal="left" vertical="top" wrapText="1"/>
    </xf>
    <xf numFmtId="0" fontId="6" fillId="0" borderId="75" xfId="54" applyFont="1" applyFill="1" applyBorder="1" applyAlignment="1">
      <alignment horizontal="left" vertical="top" wrapText="1"/>
    </xf>
    <xf numFmtId="4" fontId="6" fillId="0" borderId="28" xfId="53" applyNumberFormat="1" applyFont="1" applyBorder="1" applyAlignment="1">
      <alignment horizontal="right" vertical="center"/>
    </xf>
    <xf numFmtId="4" fontId="6" fillId="0" borderId="62" xfId="53" applyNumberFormat="1" applyFont="1" applyBorder="1" applyAlignment="1">
      <alignment horizontal="right" vertical="center"/>
    </xf>
    <xf numFmtId="0" fontId="11" fillId="0" borderId="62" xfId="54" applyFont="1" applyFill="1" applyBorder="1" applyAlignment="1">
      <alignment horizontal="left" vertical="top" wrapText="1"/>
    </xf>
    <xf numFmtId="0" fontId="11" fillId="0" borderId="45" xfId="54" applyFont="1" applyFill="1" applyBorder="1" applyAlignment="1">
      <alignment horizontal="left" vertical="top" wrapText="1"/>
    </xf>
    <xf numFmtId="4" fontId="6" fillId="0" borderId="13" xfId="54" applyNumberFormat="1" applyFont="1" applyFill="1" applyBorder="1" applyAlignment="1">
      <alignment vertical="center"/>
    </xf>
    <xf numFmtId="4" fontId="6" fillId="0" borderId="15" xfId="54" applyNumberFormat="1" applyFont="1" applyFill="1" applyBorder="1" applyAlignment="1">
      <alignment vertical="center"/>
    </xf>
    <xf numFmtId="4" fontId="8" fillId="0" borderId="19" xfId="54" applyNumberFormat="1" applyFont="1" applyFill="1" applyBorder="1" applyAlignment="1">
      <alignment horizontal="right" vertical="center"/>
    </xf>
    <xf numFmtId="4" fontId="8" fillId="0" borderId="38" xfId="54" applyNumberFormat="1" applyFont="1" applyFill="1" applyBorder="1" applyAlignment="1">
      <alignment horizontal="right" vertical="center"/>
    </xf>
    <xf numFmtId="0" fontId="6" fillId="0" borderId="71" xfId="54" applyFont="1" applyFill="1" applyBorder="1" applyAlignment="1">
      <alignment horizontal="left" vertical="center"/>
    </xf>
    <xf numFmtId="0" fontId="6" fillId="0" borderId="84" xfId="54" applyFont="1" applyFill="1" applyBorder="1" applyAlignment="1">
      <alignment horizontal="left" vertical="center"/>
    </xf>
    <xf numFmtId="0" fontId="6" fillId="0" borderId="14" xfId="54" applyFont="1" applyBorder="1" applyAlignment="1">
      <alignment horizontal="left" vertical="center"/>
    </xf>
    <xf numFmtId="49" fontId="24" fillId="0" borderId="0" xfId="54" applyNumberFormat="1" applyFont="1" applyAlignment="1">
      <alignment horizontal="right"/>
    </xf>
    <xf numFmtId="0" fontId="22" fillId="0" borderId="0" xfId="54" applyFont="1" applyAlignment="1">
      <alignment horizontal="center"/>
    </xf>
    <xf numFmtId="0" fontId="23" fillId="0" borderId="0" xfId="54" applyFont="1" applyAlignment="1">
      <alignment horizontal="center"/>
    </xf>
    <xf numFmtId="0" fontId="6" fillId="0" borderId="14" xfId="54" applyFont="1" applyFill="1" applyBorder="1" applyAlignment="1">
      <alignment horizontal="left" vertical="center"/>
    </xf>
    <xf numFmtId="0" fontId="6" fillId="0" borderId="15" xfId="54" applyFont="1" applyBorder="1" applyAlignment="1">
      <alignment horizontal="left" vertical="center"/>
    </xf>
    <xf numFmtId="0" fontId="6" fillId="0" borderId="59" xfId="54" applyFont="1" applyFill="1" applyBorder="1" applyAlignment="1">
      <alignment horizontal="left" vertical="center"/>
    </xf>
    <xf numFmtId="0" fontId="6" fillId="0" borderId="78" xfId="54" applyFont="1" applyFill="1" applyBorder="1" applyAlignment="1">
      <alignment horizontal="left" vertical="center"/>
    </xf>
    <xf numFmtId="0" fontId="6" fillId="0" borderId="16" xfId="54" applyFont="1" applyBorder="1" applyAlignment="1">
      <alignment horizontal="left" vertical="center"/>
    </xf>
    <xf numFmtId="0" fontId="6" fillId="0" borderId="47" xfId="54" applyFont="1" applyBorder="1" applyAlignment="1">
      <alignment horizontal="left" vertical="center"/>
    </xf>
    <xf numFmtId="0" fontId="6" fillId="0" borderId="67" xfId="54" applyFont="1" applyBorder="1" applyAlignment="1">
      <alignment horizontal="left" vertical="center"/>
    </xf>
    <xf numFmtId="0" fontId="6" fillId="0" borderId="33" xfId="54" applyFont="1" applyFill="1" applyBorder="1" applyAlignment="1">
      <alignment horizontal="left" vertical="center"/>
    </xf>
    <xf numFmtId="0" fontId="6" fillId="0" borderId="14" xfId="54" applyFont="1" applyBorder="1" applyAlignment="1">
      <alignment vertical="center"/>
    </xf>
    <xf numFmtId="0" fontId="6" fillId="0" borderId="62" xfId="54" applyFont="1" applyBorder="1" applyAlignment="1">
      <alignment horizontal="left" vertical="center"/>
    </xf>
    <xf numFmtId="0" fontId="6" fillId="0" borderId="45" xfId="54" applyFont="1" applyBorder="1" applyAlignment="1">
      <alignment horizontal="left" vertical="center"/>
    </xf>
    <xf numFmtId="0" fontId="6" fillId="0" borderId="16" xfId="54" applyFont="1" applyFill="1" applyBorder="1" applyAlignment="1">
      <alignment vertical="center"/>
    </xf>
    <xf numFmtId="0" fontId="6" fillId="0" borderId="47" xfId="54" applyFont="1" applyFill="1" applyBorder="1" applyAlignment="1">
      <alignment vertical="center"/>
    </xf>
    <xf numFmtId="0" fontId="11" fillId="52" borderId="26" xfId="54" applyFont="1" applyFill="1" applyBorder="1" applyAlignment="1">
      <alignment horizontal="left" vertical="center"/>
    </xf>
    <xf numFmtId="0" fontId="11" fillId="52" borderId="71" xfId="54" applyFont="1" applyFill="1" applyBorder="1" applyAlignment="1">
      <alignment horizontal="left" vertical="center"/>
    </xf>
    <xf numFmtId="0" fontId="11" fillId="52" borderId="84" xfId="54" applyFont="1" applyFill="1" applyBorder="1" applyAlignment="1">
      <alignment horizontal="left" vertical="center"/>
    </xf>
    <xf numFmtId="0" fontId="6" fillId="0" borderId="16" xfId="54" applyFont="1" applyBorder="1" applyAlignment="1">
      <alignment vertical="center"/>
    </xf>
    <xf numFmtId="0" fontId="11" fillId="0" borderId="72" xfId="54" applyFont="1" applyFill="1" applyBorder="1" applyAlignment="1">
      <alignment horizontal="left" vertical="center"/>
    </xf>
    <xf numFmtId="0" fontId="11" fillId="0" borderId="71" xfId="54" applyFont="1" applyFill="1" applyBorder="1" applyAlignment="1">
      <alignment horizontal="left" vertical="center"/>
    </xf>
    <xf numFmtId="0" fontId="6" fillId="0" borderId="70" xfId="54" applyFont="1" applyFill="1" applyBorder="1" applyAlignment="1">
      <alignment horizontal="left" vertical="center"/>
    </xf>
    <xf numFmtId="0" fontId="6" fillId="0" borderId="0" xfId="54" applyFont="1" applyFill="1" applyBorder="1" applyAlignment="1">
      <alignment horizontal="left" vertical="center"/>
    </xf>
    <xf numFmtId="0" fontId="6" fillId="0" borderId="17" xfId="54" applyFont="1" applyBorder="1" applyAlignment="1">
      <alignment horizontal="left" vertical="center"/>
    </xf>
    <xf numFmtId="0" fontId="6" fillId="0" borderId="76" xfId="54" applyFont="1" applyBorder="1" applyAlignment="1">
      <alignment horizontal="left" vertical="center"/>
    </xf>
    <xf numFmtId="0" fontId="25" fillId="0" borderId="28" xfId="54" applyFont="1" applyBorder="1" applyAlignment="1">
      <alignment horizontal="center" vertical="center"/>
    </xf>
    <xf numFmtId="0" fontId="25" fillId="0" borderId="86" xfId="54" applyFont="1" applyBorder="1" applyAlignment="1">
      <alignment horizontal="center" vertical="center"/>
    </xf>
    <xf numFmtId="0" fontId="6" fillId="0" borderId="16" xfId="54" applyFont="1" applyFill="1" applyBorder="1" applyAlignment="1">
      <alignment horizontal="left" vertical="center"/>
    </xf>
    <xf numFmtId="0" fontId="6" fillId="0" borderId="47" xfId="54" applyFont="1" applyFill="1" applyBorder="1" applyAlignment="1">
      <alignment horizontal="left" vertical="center"/>
    </xf>
    <xf numFmtId="0" fontId="6" fillId="0" borderId="76" xfId="54" applyFont="1" applyFill="1" applyBorder="1" applyAlignment="1">
      <alignment horizontal="left" vertical="center"/>
    </xf>
    <xf numFmtId="0" fontId="6" fillId="0" borderId="49" xfId="54" applyFont="1" applyFill="1" applyBorder="1" applyAlignment="1">
      <alignment horizontal="left" vertical="center"/>
    </xf>
    <xf numFmtId="0" fontId="6" fillId="0" borderId="87" xfId="54" applyFont="1" applyFill="1" applyBorder="1" applyAlignment="1">
      <alignment horizontal="left" vertical="center"/>
    </xf>
    <xf numFmtId="0" fontId="6" fillId="0" borderId="62" xfId="54" applyFont="1" applyFill="1" applyBorder="1" applyAlignment="1">
      <alignment horizontal="left" vertical="center"/>
    </xf>
    <xf numFmtId="0" fontId="6" fillId="0" borderId="45" xfId="54" applyFont="1" applyFill="1" applyBorder="1" applyAlignment="1">
      <alignment horizontal="left" vertical="center"/>
    </xf>
    <xf numFmtId="0" fontId="6" fillId="0" borderId="15" xfId="54" applyFont="1" applyFill="1" applyBorder="1" applyAlignment="1">
      <alignment horizontal="left" vertical="center"/>
    </xf>
    <xf numFmtId="0" fontId="6" fillId="0" borderId="33" xfId="43" applyFont="1" applyFill="1" applyBorder="1" applyAlignment="1">
      <alignment horizontal="left" vertical="center"/>
    </xf>
    <xf numFmtId="0" fontId="6" fillId="0" borderId="76" xfId="54" applyFont="1" applyFill="1" applyBorder="1" applyAlignment="1">
      <alignment horizontal="left" vertical="center" wrapText="1"/>
    </xf>
    <xf numFmtId="0" fontId="6" fillId="0" borderId="49" xfId="54" applyFont="1" applyFill="1" applyBorder="1" applyAlignment="1">
      <alignment horizontal="left" vertical="center" wrapText="1"/>
    </xf>
    <xf numFmtId="0" fontId="6" fillId="0" borderId="87" xfId="54" applyFont="1" applyFill="1" applyBorder="1" applyAlignment="1">
      <alignment horizontal="left" vertical="center" wrapText="1"/>
    </xf>
    <xf numFmtId="0" fontId="6" fillId="0" borderId="36" xfId="54" applyFont="1" applyFill="1" applyBorder="1" applyAlignment="1">
      <alignment horizontal="left" vertical="center"/>
    </xf>
    <xf numFmtId="0" fontId="98" fillId="59" borderId="16" xfId="0" applyFont="1" applyFill="1" applyBorder="1" applyAlignment="1">
      <alignment horizontal="left" vertical="center"/>
    </xf>
    <xf numFmtId="0" fontId="98" fillId="59" borderId="67" xfId="0" applyFont="1" applyFill="1" applyBorder="1" applyAlignment="1">
      <alignment horizontal="left" vertical="center"/>
    </xf>
    <xf numFmtId="0" fontId="126" fillId="0" borderId="14" xfId="0" applyFont="1" applyBorder="1" applyAlignment="1">
      <alignment horizontal="left" vertical="center" wrapText="1"/>
    </xf>
    <xf numFmtId="0" fontId="10" fillId="0" borderId="0" xfId="43" applyFont="1" applyAlignment="1">
      <alignment horizontal="center" vertical="center" wrapText="1"/>
    </xf>
    <xf numFmtId="0" fontId="10" fillId="0" borderId="0" xfId="43" applyFont="1" applyAlignment="1">
      <alignment horizontal="right" vertical="center" wrapText="1"/>
    </xf>
    <xf numFmtId="0" fontId="10" fillId="0" borderId="0" xfId="43" applyFont="1" applyAlignment="1">
      <alignment horizontal="center" vertical="center"/>
    </xf>
    <xf numFmtId="0" fontId="10" fillId="0" borderId="0" xfId="43" applyFont="1" applyAlignment="1">
      <alignment horizontal="right" vertical="center"/>
    </xf>
    <xf numFmtId="0" fontId="98" fillId="59" borderId="16" xfId="0" applyFont="1" applyFill="1" applyBorder="1" applyAlignment="1">
      <alignment vertical="center" wrapText="1"/>
    </xf>
    <xf numFmtId="0" fontId="98" fillId="59" borderId="67" xfId="0" applyFont="1" applyFill="1" applyBorder="1" applyAlignment="1">
      <alignment vertical="center" wrapText="1"/>
    </xf>
    <xf numFmtId="0" fontId="98" fillId="59" borderId="47" xfId="0" applyFont="1" applyFill="1" applyBorder="1" applyAlignment="1">
      <alignment vertical="center" wrapText="1"/>
    </xf>
    <xf numFmtId="0" fontId="10" fillId="0" borderId="0" xfId="43" applyFont="1" applyBorder="1" applyAlignment="1">
      <alignment horizontal="center" vertical="center" wrapText="1"/>
    </xf>
    <xf numFmtId="0" fontId="10" fillId="0" borderId="0" xfId="43" applyFont="1" applyBorder="1" applyAlignment="1">
      <alignment horizontal="right" vertical="center" wrapText="1"/>
    </xf>
    <xf numFmtId="0" fontId="10" fillId="0" borderId="0" xfId="43" applyFont="1" applyBorder="1" applyAlignment="1">
      <alignment horizontal="center" vertical="center"/>
    </xf>
    <xf numFmtId="0" fontId="10" fillId="0" borderId="0" xfId="43" applyFont="1" applyBorder="1" applyAlignment="1">
      <alignment horizontal="right" vertical="center"/>
    </xf>
    <xf numFmtId="0" fontId="10" fillId="0" borderId="0" xfId="50" applyFont="1" applyAlignment="1">
      <alignment horizontal="center" vertical="center" wrapText="1"/>
    </xf>
    <xf numFmtId="0" fontId="12" fillId="0" borderId="0" xfId="50" applyFont="1" applyAlignment="1">
      <alignment horizontal="left" vertical="center" wrapText="1"/>
    </xf>
    <xf numFmtId="0" fontId="7" fillId="0" borderId="29" xfId="43" applyFont="1" applyBorder="1" applyAlignment="1">
      <alignment horizontal="left"/>
    </xf>
    <xf numFmtId="0" fontId="7" fillId="0" borderId="53" xfId="43" applyFont="1" applyBorder="1" applyAlignment="1">
      <alignment horizontal="left"/>
    </xf>
    <xf numFmtId="0" fontId="11" fillId="0" borderId="0" xfId="43" applyFont="1" applyAlignment="1">
      <alignment horizontal="center"/>
    </xf>
    <xf numFmtId="0" fontId="11" fillId="0" borderId="0" xfId="43" applyFont="1" applyFill="1" applyAlignment="1">
      <alignment horizontal="center"/>
    </xf>
    <xf numFmtId="0" fontId="11" fillId="0" borderId="0" xfId="43" applyFont="1" applyBorder="1" applyAlignment="1">
      <alignment horizontal="center"/>
    </xf>
    <xf numFmtId="49" fontId="6" fillId="0" borderId="86" xfId="43" applyNumberFormat="1" applyFont="1" applyFill="1" applyBorder="1" applyAlignment="1">
      <alignment horizontal="left" wrapText="1"/>
    </xf>
    <xf numFmtId="49" fontId="6" fillId="0" borderId="0" xfId="43" applyNumberFormat="1" applyFont="1" applyFill="1" applyBorder="1" applyAlignment="1">
      <alignment horizontal="left" wrapText="1"/>
    </xf>
    <xf numFmtId="49" fontId="11" fillId="0" borderId="0" xfId="43" applyNumberFormat="1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7" fillId="0" borderId="72" xfId="43" applyFont="1" applyBorder="1" applyAlignment="1">
      <alignment horizontal="left"/>
    </xf>
    <xf numFmtId="0" fontId="7" fillId="0" borderId="84" xfId="43" applyFont="1" applyBorder="1" applyAlignment="1">
      <alignment horizontal="left"/>
    </xf>
    <xf numFmtId="0" fontId="11" fillId="0" borderId="0" xfId="114" applyFont="1" applyAlignment="1">
      <alignment horizontal="center"/>
    </xf>
    <xf numFmtId="49" fontId="11" fillId="0" borderId="0" xfId="114" applyNumberFormat="1" applyFont="1" applyAlignment="1">
      <alignment horizontal="right"/>
    </xf>
    <xf numFmtId="0" fontId="10" fillId="0" borderId="0" xfId="114" applyFont="1" applyAlignment="1">
      <alignment horizontal="center" vertical="center" wrapText="1"/>
    </xf>
    <xf numFmtId="4" fontId="6" fillId="0" borderId="28" xfId="114" applyNumberFormat="1" applyFont="1" applyBorder="1" applyAlignment="1">
      <alignment horizontal="center" vertical="center" wrapText="1"/>
    </xf>
    <xf numFmtId="4" fontId="6" fillId="0" borderId="93" xfId="114" applyNumberFormat="1" applyFont="1" applyBorder="1" applyAlignment="1">
      <alignment horizontal="center" vertical="center" wrapText="1"/>
    </xf>
    <xf numFmtId="4" fontId="6" fillId="0" borderId="70" xfId="114" applyNumberFormat="1" applyFont="1" applyBorder="1" applyAlignment="1">
      <alignment horizontal="center" vertical="center" wrapText="1"/>
    </xf>
    <xf numFmtId="4" fontId="6" fillId="0" borderId="80" xfId="114" applyNumberFormat="1" applyFont="1" applyBorder="1" applyAlignment="1">
      <alignment horizontal="center" vertical="center" wrapText="1"/>
    </xf>
    <xf numFmtId="4" fontId="6" fillId="0" borderId="72" xfId="114" applyNumberFormat="1" applyFont="1" applyBorder="1" applyAlignment="1">
      <alignment horizontal="center" vertical="center" wrapText="1"/>
    </xf>
    <xf numFmtId="4" fontId="6" fillId="0" borderId="30" xfId="114" applyNumberFormat="1" applyFont="1" applyBorder="1" applyAlignment="1">
      <alignment horizontal="center" vertical="center" wrapText="1"/>
    </xf>
    <xf numFmtId="0" fontId="7" fillId="0" borderId="10" xfId="114" applyFont="1" applyBorder="1" applyAlignment="1">
      <alignment horizontal="left"/>
    </xf>
    <xf numFmtId="0" fontId="7" fillId="0" borderId="29" xfId="114" applyFont="1" applyBorder="1" applyAlignment="1">
      <alignment horizontal="left"/>
    </xf>
    <xf numFmtId="4" fontId="55" fillId="0" borderId="28" xfId="114" applyNumberFormat="1" applyFont="1" applyBorder="1" applyAlignment="1">
      <alignment horizontal="center" vertical="center" wrapText="1"/>
    </xf>
    <xf numFmtId="4" fontId="55" fillId="0" borderId="93" xfId="114" applyNumberFormat="1" applyFont="1" applyBorder="1" applyAlignment="1">
      <alignment horizontal="center" vertical="center" wrapText="1"/>
    </xf>
    <xf numFmtId="4" fontId="55" fillId="0" borderId="70" xfId="114" applyNumberFormat="1" applyFont="1" applyBorder="1" applyAlignment="1">
      <alignment horizontal="center" vertical="center" wrapText="1"/>
    </xf>
    <xf numFmtId="4" fontId="55" fillId="0" borderId="80" xfId="114" applyNumberFormat="1" applyFont="1" applyBorder="1" applyAlignment="1">
      <alignment horizontal="center" vertical="center" wrapText="1"/>
    </xf>
    <xf numFmtId="4" fontId="55" fillId="0" borderId="72" xfId="114" applyNumberFormat="1" applyFont="1" applyBorder="1" applyAlignment="1">
      <alignment horizontal="center" vertical="center" wrapText="1"/>
    </xf>
    <xf numFmtId="4" fontId="55" fillId="0" borderId="30" xfId="114" applyNumberFormat="1" applyFont="1" applyBorder="1" applyAlignment="1">
      <alignment horizontal="center" vertical="center" wrapText="1"/>
    </xf>
    <xf numFmtId="0" fontId="10" fillId="0" borderId="0" xfId="114" applyFont="1" applyAlignment="1">
      <alignment horizontal="center"/>
    </xf>
    <xf numFmtId="0" fontId="51" fillId="53" borderId="50" xfId="0" applyFont="1" applyFill="1" applyBorder="1" applyAlignment="1">
      <alignment horizontal="left" wrapText="1"/>
    </xf>
    <xf numFmtId="0" fontId="51" fillId="53" borderId="32" xfId="0" applyFont="1" applyFill="1" applyBorder="1" applyAlignment="1">
      <alignment horizontal="left" wrapText="1"/>
    </xf>
    <xf numFmtId="0" fontId="51" fillId="53" borderId="73" xfId="0" applyFont="1" applyFill="1" applyBorder="1" applyAlignment="1">
      <alignment horizontal="left" wrapText="1"/>
    </xf>
    <xf numFmtId="0" fontId="51" fillId="53" borderId="44" xfId="0" applyFont="1" applyFill="1" applyBorder="1" applyAlignment="1">
      <alignment horizontal="left"/>
    </xf>
    <xf numFmtId="0" fontId="51" fillId="53" borderId="45" xfId="0" applyFont="1" applyFill="1" applyBorder="1" applyAlignment="1">
      <alignment horizontal="left"/>
    </xf>
    <xf numFmtId="0" fontId="12" fillId="53" borderId="50" xfId="0" applyFont="1" applyFill="1" applyBorder="1" applyAlignment="1">
      <alignment horizontal="left"/>
    </xf>
    <xf numFmtId="0" fontId="12" fillId="53" borderId="32" xfId="0" applyFont="1" applyFill="1" applyBorder="1" applyAlignment="1">
      <alignment horizontal="left"/>
    </xf>
    <xf numFmtId="0" fontId="12" fillId="53" borderId="73" xfId="0" applyFont="1" applyFill="1" applyBorder="1" applyAlignment="1">
      <alignment horizontal="left"/>
    </xf>
    <xf numFmtId="4" fontId="49" fillId="0" borderId="0" xfId="0" applyNumberFormat="1" applyFont="1" applyAlignment="1">
      <alignment horizontal="center"/>
    </xf>
    <xf numFmtId="0" fontId="7" fillId="52" borderId="50" xfId="0" applyFont="1" applyFill="1" applyBorder="1" applyAlignment="1">
      <alignment horizontal="left"/>
    </xf>
    <xf numFmtId="0" fontId="7" fillId="52" borderId="32" xfId="0" applyFont="1" applyFill="1" applyBorder="1" applyAlignment="1">
      <alignment horizontal="left"/>
    </xf>
    <xf numFmtId="0" fontId="7" fillId="52" borderId="73" xfId="0" applyFont="1" applyFill="1" applyBorder="1" applyAlignment="1">
      <alignment horizontal="left"/>
    </xf>
    <xf numFmtId="0" fontId="12" fillId="52" borderId="50" xfId="0" applyFont="1" applyFill="1" applyBorder="1" applyAlignment="1">
      <alignment horizontal="left"/>
    </xf>
    <xf numFmtId="0" fontId="12" fillId="52" borderId="32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7" fillId="53" borderId="50" xfId="0" applyFont="1" applyFill="1" applyBorder="1" applyAlignment="1">
      <alignment horizontal="left"/>
    </xf>
    <xf numFmtId="0" fontId="7" fillId="53" borderId="32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0" borderId="40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73" xfId="0" applyFont="1" applyFill="1" applyBorder="1" applyAlignment="1">
      <alignment horizont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51" fillId="53" borderId="46" xfId="0" applyFont="1" applyFill="1" applyBorder="1" applyAlignment="1">
      <alignment horizontal="left"/>
    </xf>
    <xf numFmtId="0" fontId="51" fillId="53" borderId="47" xfId="0" applyFont="1" applyFill="1" applyBorder="1" applyAlignment="1">
      <alignment horizontal="left"/>
    </xf>
    <xf numFmtId="0" fontId="8" fillId="0" borderId="54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2" fillId="53" borderId="26" xfId="0" applyFont="1" applyFill="1" applyBorder="1" applyAlignment="1">
      <alignment horizontal="left"/>
    </xf>
    <xf numFmtId="0" fontId="12" fillId="53" borderId="71" xfId="0" applyFont="1" applyFill="1" applyBorder="1" applyAlignment="1">
      <alignment horizontal="left"/>
    </xf>
    <xf numFmtId="0" fontId="12" fillId="53" borderId="30" xfId="0" applyFont="1" applyFill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wrapText="1"/>
    </xf>
    <xf numFmtId="0" fontId="8" fillId="0" borderId="62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43" xfId="0" applyFont="1" applyFill="1" applyBorder="1" applyAlignment="1">
      <alignment horizontal="center" wrapText="1"/>
    </xf>
    <xf numFmtId="0" fontId="5" fillId="0" borderId="0" xfId="40" applyFont="1" applyFill="1" applyAlignment="1">
      <alignment horizontal="justify" vertical="center" wrapText="1"/>
    </xf>
    <xf numFmtId="0" fontId="11" fillId="0" borderId="0" xfId="40" applyFont="1" applyAlignment="1">
      <alignment horizontal="right"/>
    </xf>
    <xf numFmtId="0" fontId="16" fillId="0" borderId="0" xfId="40" applyFont="1" applyAlignment="1">
      <alignment horizontal="center"/>
    </xf>
    <xf numFmtId="0" fontId="10" fillId="0" borderId="0" xfId="40" applyFont="1" applyAlignment="1">
      <alignment horizontal="center"/>
    </xf>
    <xf numFmtId="0" fontId="10" fillId="0" borderId="0" xfId="40" applyFont="1" applyBorder="1" applyAlignment="1">
      <alignment horizontal="center"/>
    </xf>
    <xf numFmtId="4" fontId="12" fillId="0" borderId="51" xfId="118" applyNumberFormat="1" applyFont="1" applyBorder="1" applyAlignment="1">
      <alignment horizontal="right"/>
    </xf>
    <xf numFmtId="4" fontId="12" fillId="0" borderId="55" xfId="118" applyNumberFormat="1" applyFont="1" applyBorder="1" applyAlignment="1">
      <alignment horizontal="right"/>
    </xf>
    <xf numFmtId="49" fontId="11" fillId="0" borderId="0" xfId="118" applyNumberFormat="1" applyFont="1" applyAlignment="1">
      <alignment horizontal="right"/>
    </xf>
    <xf numFmtId="0" fontId="16" fillId="0" borderId="0" xfId="118" applyFont="1" applyAlignment="1">
      <alignment horizontal="center"/>
    </xf>
    <xf numFmtId="0" fontId="10" fillId="0" borderId="0" xfId="118" applyFont="1" applyAlignment="1">
      <alignment horizontal="center"/>
    </xf>
    <xf numFmtId="0" fontId="8" fillId="0" borderId="50" xfId="118" applyFont="1" applyBorder="1" applyAlignment="1">
      <alignment horizontal="center"/>
    </xf>
    <xf numFmtId="0" fontId="8" fillId="0" borderId="53" xfId="118" applyFont="1" applyBorder="1" applyAlignment="1">
      <alignment horizontal="center"/>
    </xf>
    <xf numFmtId="4" fontId="12" fillId="0" borderId="46" xfId="118" applyNumberFormat="1" applyFont="1" applyBorder="1" applyAlignment="1">
      <alignment horizontal="right"/>
    </xf>
    <xf numFmtId="4" fontId="12" fillId="0" borderId="67" xfId="118" applyNumberFormat="1" applyFont="1" applyBorder="1" applyAlignment="1">
      <alignment horizontal="right"/>
    </xf>
    <xf numFmtId="4" fontId="12" fillId="0" borderId="44" xfId="118" applyNumberFormat="1" applyFont="1" applyBorder="1" applyAlignment="1">
      <alignment horizontal="right"/>
    </xf>
    <xf numFmtId="4" fontId="12" fillId="0" borderId="63" xfId="118" applyNumberFormat="1" applyFont="1" applyBorder="1" applyAlignment="1">
      <alignment horizontal="right"/>
    </xf>
    <xf numFmtId="4" fontId="7" fillId="0" borderId="50" xfId="118" applyNumberFormat="1" applyFont="1" applyBorder="1" applyAlignment="1">
      <alignment horizontal="right"/>
    </xf>
    <xf numFmtId="4" fontId="7" fillId="0" borderId="53" xfId="118" applyNumberFormat="1" applyFont="1" applyBorder="1" applyAlignment="1">
      <alignment horizontal="right"/>
    </xf>
    <xf numFmtId="4" fontId="7" fillId="52" borderId="50" xfId="118" applyNumberFormat="1" applyFont="1" applyFill="1" applyBorder="1" applyAlignment="1">
      <alignment horizontal="right"/>
    </xf>
    <xf numFmtId="4" fontId="7" fillId="52" borderId="53" xfId="118" applyNumberFormat="1" applyFont="1" applyFill="1" applyBorder="1" applyAlignment="1">
      <alignment horizontal="right"/>
    </xf>
    <xf numFmtId="166" fontId="8" fillId="0" borderId="50" xfId="118" applyNumberFormat="1" applyFont="1" applyBorder="1" applyAlignment="1">
      <alignment horizontal="center" vertical="center"/>
    </xf>
    <xf numFmtId="166" fontId="8" fillId="0" borderId="53" xfId="118" applyNumberFormat="1" applyFont="1" applyBorder="1" applyAlignment="1">
      <alignment horizontal="center" vertical="center"/>
    </xf>
    <xf numFmtId="0" fontId="16" fillId="0" borderId="0" xfId="118" applyFont="1" applyAlignment="1">
      <alignment horizontal="center" vertical="center"/>
    </xf>
    <xf numFmtId="0" fontId="10" fillId="0" borderId="0" xfId="118" applyFont="1" applyAlignment="1">
      <alignment horizontal="center" vertical="center"/>
    </xf>
    <xf numFmtId="0" fontId="5" fillId="0" borderId="0" xfId="118" applyAlignment="1">
      <alignment horizontal="left" vertical="center"/>
    </xf>
    <xf numFmtId="0" fontId="5" fillId="0" borderId="0" xfId="118" applyAlignment="1">
      <alignment horizontal="left" wrapText="1"/>
    </xf>
    <xf numFmtId="0" fontId="5" fillId="0" borderId="0" xfId="118" applyAlignment="1">
      <alignment horizontal="left" vertical="top" wrapText="1"/>
    </xf>
    <xf numFmtId="0" fontId="11" fillId="0" borderId="0" xfId="118" applyFont="1" applyAlignment="1">
      <alignment horizontal="right"/>
    </xf>
    <xf numFmtId="0" fontId="9" fillId="0" borderId="0" xfId="40" applyFill="1" applyAlignment="1">
      <alignment horizontal="justify" vertical="center" wrapText="1"/>
    </xf>
    <xf numFmtId="0" fontId="5" fillId="0" borderId="16" xfId="48" applyFont="1" applyBorder="1" applyAlignment="1">
      <alignment horizontal="left" vertical="center" wrapText="1"/>
    </xf>
    <xf numFmtId="0" fontId="5" fillId="0" borderId="67" xfId="48" applyFont="1" applyBorder="1" applyAlignment="1">
      <alignment horizontal="left" vertical="center" wrapText="1"/>
    </xf>
    <xf numFmtId="0" fontId="23" fillId="0" borderId="0" xfId="45" applyFont="1" applyFill="1" applyAlignment="1">
      <alignment horizontal="center" vertical="center" wrapText="1"/>
    </xf>
    <xf numFmtId="0" fontId="7" fillId="0" borderId="90" xfId="48" applyFont="1" applyBorder="1" applyAlignment="1">
      <alignment horizontal="center" vertical="center" wrapText="1"/>
    </xf>
    <xf numFmtId="0" fontId="7" fillId="0" borderId="94" xfId="48" applyFont="1" applyBorder="1" applyAlignment="1">
      <alignment horizontal="center" vertical="center" wrapText="1"/>
    </xf>
    <xf numFmtId="0" fontId="5" fillId="0" borderId="62" xfId="48" applyFont="1" applyBorder="1" applyAlignment="1">
      <alignment horizontal="left" vertical="center" wrapText="1"/>
    </xf>
    <xf numFmtId="0" fontId="5" fillId="0" borderId="63" xfId="48" applyFont="1" applyBorder="1" applyAlignment="1">
      <alignment horizontal="left" vertical="center" wrapText="1"/>
    </xf>
    <xf numFmtId="0" fontId="5" fillId="0" borderId="16" xfId="48" applyFont="1" applyBorder="1" applyAlignment="1">
      <alignment vertical="center" wrapText="1"/>
    </xf>
    <xf numFmtId="0" fontId="5" fillId="0" borderId="67" xfId="48" applyFont="1" applyBorder="1" applyAlignment="1">
      <alignment vertical="center" wrapText="1"/>
    </xf>
    <xf numFmtId="0" fontId="5" fillId="0" borderId="14" xfId="48" applyFont="1" applyBorder="1" applyAlignment="1">
      <alignment vertical="center" wrapText="1"/>
    </xf>
    <xf numFmtId="0" fontId="5" fillId="0" borderId="14" xfId="48" applyFont="1" applyBorder="1" applyAlignment="1">
      <alignment horizontal="left" vertical="center" wrapText="1"/>
    </xf>
    <xf numFmtId="0" fontId="5" fillId="0" borderId="14" xfId="48" applyFont="1" applyBorder="1" applyAlignment="1">
      <alignment vertical="center"/>
    </xf>
    <xf numFmtId="0" fontId="12" fillId="0" borderId="16" xfId="48" applyFont="1" applyBorder="1" applyAlignment="1">
      <alignment horizontal="left" vertical="center" wrapText="1"/>
    </xf>
    <xf numFmtId="0" fontId="12" fillId="0" borderId="67" xfId="48" applyFont="1" applyBorder="1" applyAlignment="1">
      <alignment horizontal="left" vertical="center" wrapText="1"/>
    </xf>
    <xf numFmtId="0" fontId="5" fillId="0" borderId="36" xfId="48" applyFont="1" applyBorder="1" applyAlignment="1">
      <alignment horizontal="left" vertical="center" wrapText="1"/>
    </xf>
    <xf numFmtId="0" fontId="11" fillId="0" borderId="10" xfId="48" applyFont="1" applyBorder="1" applyAlignment="1">
      <alignment horizontal="left" vertical="center" wrapText="1"/>
    </xf>
    <xf numFmtId="0" fontId="18" fillId="0" borderId="67" xfId="48" applyBorder="1" applyAlignment="1">
      <alignment horizontal="left" vertical="center" wrapText="1"/>
    </xf>
    <xf numFmtId="0" fontId="7" fillId="0" borderId="14" xfId="114" applyFont="1" applyBorder="1" applyAlignment="1">
      <alignment horizontal="center" vertical="center" wrapText="1"/>
    </xf>
    <xf numFmtId="0" fontId="7" fillId="0" borderId="88" xfId="114" applyFont="1" applyBorder="1" applyAlignment="1">
      <alignment horizontal="center" vertical="center" wrapText="1"/>
    </xf>
    <xf numFmtId="0" fontId="7" fillId="0" borderId="14" xfId="114" applyFont="1" applyBorder="1" applyAlignment="1">
      <alignment horizontal="center" vertical="center"/>
    </xf>
    <xf numFmtId="0" fontId="7" fillId="0" borderId="88" xfId="114" applyFont="1" applyBorder="1" applyAlignment="1">
      <alignment horizontal="center" vertical="center"/>
    </xf>
    <xf numFmtId="0" fontId="12" fillId="0" borderId="88" xfId="114" applyFont="1" applyBorder="1" applyAlignment="1">
      <alignment horizontal="center" vertical="center" wrapText="1"/>
    </xf>
    <xf numFmtId="4" fontId="12" fillId="0" borderId="15" xfId="114" applyNumberFormat="1" applyFont="1" applyBorder="1" applyAlignment="1">
      <alignment horizontal="right" vertical="center"/>
    </xf>
    <xf numFmtId="4" fontId="12" fillId="0" borderId="14" xfId="114" applyNumberFormat="1" applyFont="1" applyBorder="1" applyAlignment="1">
      <alignment horizontal="right" vertical="center"/>
    </xf>
    <xf numFmtId="0" fontId="11" fillId="0" borderId="15" xfId="114" applyFont="1" applyBorder="1" applyAlignment="1">
      <alignment horizontal="right" vertical="center"/>
    </xf>
    <xf numFmtId="0" fontId="6" fillId="0" borderId="52" xfId="114" applyFont="1" applyBorder="1" applyAlignment="1">
      <alignment horizontal="left" vertical="center" wrapText="1"/>
    </xf>
    <xf numFmtId="0" fontId="6" fillId="0" borderId="14" xfId="114" applyFont="1" applyBorder="1" applyAlignment="1">
      <alignment horizontal="left" vertical="center" wrapText="1"/>
    </xf>
    <xf numFmtId="0" fontId="6" fillId="18" borderId="46" xfId="114" applyFont="1" applyFill="1" applyBorder="1" applyAlignment="1">
      <alignment horizontal="left" vertical="center" wrapText="1"/>
    </xf>
    <xf numFmtId="0" fontId="6" fillId="18" borderId="47" xfId="114" applyFont="1" applyFill="1" applyBorder="1" applyAlignment="1">
      <alignment horizontal="left" vertical="center" wrapText="1"/>
    </xf>
    <xf numFmtId="0" fontId="6" fillId="18" borderId="67" xfId="114" applyFont="1" applyFill="1" applyBorder="1" applyAlignment="1">
      <alignment horizontal="left" vertical="center" wrapText="1"/>
    </xf>
    <xf numFmtId="0" fontId="93" fillId="0" borderId="0" xfId="114" applyFont="1" applyAlignment="1">
      <alignment horizontal="right" wrapText="1"/>
    </xf>
    <xf numFmtId="0" fontId="10" fillId="0" borderId="0" xfId="114" applyFont="1" applyAlignment="1">
      <alignment horizontal="left"/>
    </xf>
    <xf numFmtId="0" fontId="7" fillId="62" borderId="50" xfId="114" applyFont="1" applyFill="1" applyBorder="1" applyAlignment="1">
      <alignment horizontal="left" vertical="center" wrapText="1"/>
    </xf>
    <xf numFmtId="0" fontId="7" fillId="62" borderId="32" xfId="114" applyFont="1" applyFill="1" applyBorder="1" applyAlignment="1">
      <alignment horizontal="left" vertical="center" wrapText="1"/>
    </xf>
    <xf numFmtId="0" fontId="7" fillId="62" borderId="53" xfId="114" applyFont="1" applyFill="1" applyBorder="1" applyAlignment="1">
      <alignment horizontal="left" vertical="center" wrapText="1"/>
    </xf>
    <xf numFmtId="0" fontId="7" fillId="15" borderId="51" xfId="114" applyFont="1" applyFill="1" applyBorder="1" applyAlignment="1">
      <alignment horizontal="left" vertical="center" wrapText="1"/>
    </xf>
    <xf numFmtId="0" fontId="7" fillId="15" borderId="78" xfId="114" applyFont="1" applyFill="1" applyBorder="1" applyAlignment="1">
      <alignment horizontal="left" vertical="center" wrapText="1"/>
    </xf>
    <xf numFmtId="0" fontId="7" fillId="15" borderId="55" xfId="114" applyFont="1" applyFill="1" applyBorder="1" applyAlignment="1">
      <alignment horizontal="left" vertical="center" wrapText="1"/>
    </xf>
    <xf numFmtId="0" fontId="5" fillId="58" borderId="46" xfId="114" applyFill="1" applyBorder="1" applyAlignment="1">
      <alignment horizontal="left"/>
    </xf>
    <xf numFmtId="0" fontId="5" fillId="58" borderId="47" xfId="114" applyFill="1" applyBorder="1" applyAlignment="1">
      <alignment horizontal="left"/>
    </xf>
    <xf numFmtId="0" fontId="5" fillId="58" borderId="67" xfId="114" applyFill="1" applyBorder="1" applyAlignment="1">
      <alignment horizontal="left"/>
    </xf>
    <xf numFmtId="0" fontId="7" fillId="16" borderId="46" xfId="114" applyFont="1" applyFill="1" applyBorder="1" applyAlignment="1">
      <alignment horizontal="left" vertical="center" wrapText="1"/>
    </xf>
    <xf numFmtId="0" fontId="7" fillId="16" borderId="47" xfId="114" applyFont="1" applyFill="1" applyBorder="1" applyAlignment="1">
      <alignment horizontal="left" vertical="center" wrapText="1"/>
    </xf>
    <xf numFmtId="0" fontId="7" fillId="16" borderId="67" xfId="114" applyFont="1" applyFill="1" applyBorder="1" applyAlignment="1">
      <alignment horizontal="left" vertical="center" wrapText="1"/>
    </xf>
    <xf numFmtId="0" fontId="6" fillId="0" borderId="83" xfId="114" applyFont="1" applyFill="1" applyBorder="1" applyAlignment="1">
      <alignment horizontal="left" vertical="center" wrapText="1"/>
    </xf>
    <xf numFmtId="0" fontId="6" fillId="0" borderId="17" xfId="114" applyFont="1" applyFill="1" applyBorder="1" applyAlignment="1">
      <alignment horizontal="left" vertical="center" wrapText="1"/>
    </xf>
    <xf numFmtId="0" fontId="6" fillId="0" borderId="52" xfId="114" applyFont="1" applyBorder="1" applyAlignment="1">
      <alignment horizontal="left" vertical="center"/>
    </xf>
    <xf numFmtId="0" fontId="6" fillId="0" borderId="14" xfId="114" applyFont="1" applyBorder="1" applyAlignment="1">
      <alignment horizontal="left" vertical="center"/>
    </xf>
    <xf numFmtId="0" fontId="6" fillId="0" borderId="83" xfId="116" applyFont="1" applyBorder="1" applyAlignment="1">
      <alignment horizontal="left" vertical="center" wrapText="1"/>
    </xf>
    <xf numFmtId="0" fontId="6" fillId="0" borderId="17" xfId="116" applyFont="1" applyBorder="1" applyAlignment="1">
      <alignment horizontal="left" vertical="center" wrapText="1"/>
    </xf>
    <xf numFmtId="0" fontId="7" fillId="19" borderId="58" xfId="114" applyFont="1" applyFill="1" applyBorder="1" applyAlignment="1">
      <alignment horizontal="left" vertical="center" wrapText="1"/>
    </xf>
    <xf numFmtId="0" fontId="7" fillId="19" borderId="33" xfId="114" applyFont="1" applyFill="1" applyBorder="1" applyAlignment="1">
      <alignment horizontal="left" vertical="center" wrapText="1"/>
    </xf>
    <xf numFmtId="0" fontId="6" fillId="18" borderId="52" xfId="114" applyFont="1" applyFill="1" applyBorder="1" applyAlignment="1">
      <alignment horizontal="left" vertical="center" wrapText="1"/>
    </xf>
    <xf numFmtId="0" fontId="6" fillId="18" borderId="14" xfId="114" applyFont="1" applyFill="1" applyBorder="1" applyAlignment="1">
      <alignment horizontal="left" vertical="center" wrapText="1"/>
    </xf>
    <xf numFmtId="0" fontId="6" fillId="0" borderId="83" xfId="116" applyFont="1" applyFill="1" applyBorder="1" applyAlignment="1">
      <alignment horizontal="left" vertical="center" wrapText="1"/>
    </xf>
    <xf numFmtId="0" fontId="6" fillId="0" borderId="17" xfId="116" applyFont="1" applyFill="1" applyBorder="1" applyAlignment="1">
      <alignment horizontal="left" vertical="center" wrapText="1"/>
    </xf>
    <xf numFmtId="0" fontId="7" fillId="20" borderId="57" xfId="114" applyFont="1" applyFill="1" applyBorder="1" applyAlignment="1">
      <alignment horizontal="left" vertical="center" wrapText="1"/>
    </xf>
    <xf numFmtId="0" fontId="7" fillId="20" borderId="86" xfId="114" applyFont="1" applyFill="1" applyBorder="1" applyAlignment="1">
      <alignment horizontal="left" vertical="center" wrapText="1"/>
    </xf>
    <xf numFmtId="0" fontId="7" fillId="20" borderId="104" xfId="114" applyFont="1" applyFill="1" applyBorder="1" applyAlignment="1">
      <alignment horizontal="left" vertical="center" wrapText="1"/>
    </xf>
    <xf numFmtId="0" fontId="158" fillId="63" borderId="12" xfId="117" applyFont="1" applyFill="1" applyBorder="1" applyAlignment="1">
      <alignment horizontal="right" vertical="center" wrapText="1"/>
    </xf>
    <xf numFmtId="0" fontId="158" fillId="63" borderId="10" xfId="117" applyFont="1" applyFill="1" applyBorder="1" applyAlignment="1">
      <alignment horizontal="right" vertical="center" wrapText="1"/>
    </xf>
    <xf numFmtId="0" fontId="158" fillId="63" borderId="12" xfId="117" applyFont="1" applyFill="1" applyBorder="1" applyAlignment="1">
      <alignment horizontal="right" vertical="center"/>
    </xf>
    <xf numFmtId="0" fontId="158" fillId="63" borderId="10" xfId="117" applyFont="1" applyFill="1" applyBorder="1" applyAlignment="1">
      <alignment horizontal="right" vertical="center"/>
    </xf>
    <xf numFmtId="0" fontId="102" fillId="0" borderId="0" xfId="53" applyFont="1" applyAlignment="1">
      <alignment horizontal="center" vertical="center" wrapText="1"/>
    </xf>
    <xf numFmtId="0" fontId="12" fillId="0" borderId="0" xfId="53" applyFont="1" applyAlignment="1">
      <alignment horizontal="left" vertical="center" wrapText="1"/>
    </xf>
    <xf numFmtId="0" fontId="11" fillId="0" borderId="57" xfId="53" applyFont="1" applyBorder="1" applyAlignment="1">
      <alignment horizontal="center" vertical="center"/>
    </xf>
    <xf numFmtId="0" fontId="11" fillId="0" borderId="86" xfId="53" applyFont="1" applyBorder="1" applyAlignment="1">
      <alignment horizontal="center" vertical="center"/>
    </xf>
    <xf numFmtId="0" fontId="11" fillId="0" borderId="51" xfId="53" applyFont="1" applyBorder="1" applyAlignment="1">
      <alignment vertical="center"/>
    </xf>
    <xf numFmtId="0" fontId="11" fillId="0" borderId="78" xfId="53" applyFont="1" applyBorder="1" applyAlignment="1">
      <alignment vertical="center"/>
    </xf>
    <xf numFmtId="0" fontId="11" fillId="0" borderId="48" xfId="53" applyFont="1" applyBorder="1" applyAlignment="1">
      <alignment vertical="center"/>
    </xf>
    <xf numFmtId="0" fontId="11" fillId="0" borderId="49" xfId="53" applyFont="1" applyBorder="1" applyAlignment="1">
      <alignment vertical="center"/>
    </xf>
    <xf numFmtId="0" fontId="11" fillId="0" borderId="50" xfId="53" applyFont="1" applyBorder="1" applyAlignment="1">
      <alignment vertical="center"/>
    </xf>
    <xf numFmtId="0" fontId="11" fillId="0" borderId="32" xfId="53" applyFont="1" applyBorder="1" applyAlignment="1">
      <alignment vertical="center"/>
    </xf>
    <xf numFmtId="0" fontId="0" fillId="0" borderId="44" xfId="53" applyFont="1" applyBorder="1" applyAlignment="1">
      <alignment vertical="center" wrapText="1"/>
    </xf>
    <xf numFmtId="0" fontId="5" fillId="0" borderId="63" xfId="53" applyFont="1" applyBorder="1" applyAlignment="1">
      <alignment vertical="center" wrapText="1"/>
    </xf>
    <xf numFmtId="0" fontId="9" fillId="0" borderId="46" xfId="53" applyBorder="1" applyAlignment="1">
      <alignment horizontal="left" vertical="center" wrapText="1"/>
    </xf>
    <xf numFmtId="0" fontId="9" fillId="0" borderId="67" xfId="53" applyBorder="1" applyAlignment="1">
      <alignment horizontal="left" vertical="center" wrapText="1"/>
    </xf>
    <xf numFmtId="0" fontId="0" fillId="0" borderId="46" xfId="53" applyFont="1" applyBorder="1" applyAlignment="1">
      <alignment vertical="center" wrapText="1"/>
    </xf>
    <xf numFmtId="0" fontId="5" fillId="0" borderId="47" xfId="53" applyFont="1" applyBorder="1" applyAlignment="1">
      <alignment vertical="center" wrapText="1"/>
    </xf>
    <xf numFmtId="0" fontId="5" fillId="0" borderId="46" xfId="53" applyFont="1" applyBorder="1" applyAlignment="1">
      <alignment vertical="center" wrapText="1"/>
    </xf>
    <xf numFmtId="0" fontId="146" fillId="18" borderId="50" xfId="53" applyFont="1" applyFill="1" applyBorder="1" applyAlignment="1">
      <alignment vertical="center" wrapText="1"/>
    </xf>
    <xf numFmtId="0" fontId="146" fillId="18" borderId="32" xfId="53" applyFont="1" applyFill="1" applyBorder="1" applyAlignment="1">
      <alignment vertical="center" wrapText="1"/>
    </xf>
    <xf numFmtId="0" fontId="7" fillId="0" borderId="12" xfId="53" applyFont="1" applyBorder="1" applyAlignment="1">
      <alignment horizontal="left" vertical="center" wrapText="1"/>
    </xf>
    <xf numFmtId="0" fontId="7" fillId="0" borderId="29" xfId="53" applyFont="1" applyBorder="1" applyAlignment="1">
      <alignment horizontal="left" vertical="center" wrapText="1"/>
    </xf>
    <xf numFmtId="0" fontId="7" fillId="0" borderId="18" xfId="53" applyFont="1" applyBorder="1" applyAlignment="1">
      <alignment horizontal="left" vertical="center" wrapText="1"/>
    </xf>
    <xf numFmtId="0" fontId="7" fillId="0" borderId="28" xfId="53" applyFont="1" applyBorder="1" applyAlignment="1">
      <alignment horizontal="left" vertical="center" wrapText="1"/>
    </xf>
    <xf numFmtId="0" fontId="7" fillId="0" borderId="50" xfId="53" applyFont="1" applyBorder="1" applyAlignment="1">
      <alignment horizontal="center" vertical="center"/>
    </xf>
    <xf numFmtId="0" fontId="7" fillId="0" borderId="32" xfId="53" applyFont="1" applyBorder="1" applyAlignment="1">
      <alignment horizontal="center" vertical="center"/>
    </xf>
    <xf numFmtId="0" fontId="110" fillId="18" borderId="50" xfId="53" applyFont="1" applyFill="1" applyBorder="1" applyAlignment="1">
      <alignment horizontal="left" vertical="center" wrapText="1"/>
    </xf>
    <xf numFmtId="0" fontId="110" fillId="18" borderId="32" xfId="53" applyFont="1" applyFill="1" applyBorder="1" applyAlignment="1">
      <alignment horizontal="left" vertical="center" wrapText="1"/>
    </xf>
    <xf numFmtId="0" fontId="12" fillId="0" borderId="58" xfId="53" applyFont="1" applyBorder="1" applyAlignment="1">
      <alignment horizontal="left" vertical="center" wrapText="1"/>
    </xf>
    <xf numFmtId="0" fontId="12" fillId="0" borderId="59" xfId="53" applyFont="1" applyBorder="1" applyAlignment="1">
      <alignment horizontal="left" vertical="center" wrapText="1"/>
    </xf>
    <xf numFmtId="2" fontId="110" fillId="18" borderId="46" xfId="53" applyNumberFormat="1" applyFont="1" applyFill="1" applyBorder="1" applyAlignment="1">
      <alignment horizontal="left" vertical="center" wrapText="1"/>
    </xf>
    <xf numFmtId="2" fontId="110" fillId="18" borderId="47" xfId="53" applyNumberFormat="1" applyFont="1" applyFill="1" applyBorder="1" applyAlignment="1">
      <alignment horizontal="left" vertical="center" wrapText="1"/>
    </xf>
    <xf numFmtId="2" fontId="7" fillId="18" borderId="46" xfId="53" applyNumberFormat="1" applyFont="1" applyFill="1" applyBorder="1" applyAlignment="1">
      <alignment horizontal="left" vertical="center" wrapText="1"/>
    </xf>
    <xf numFmtId="2" fontId="7" fillId="18" borderId="47" xfId="53" applyNumberFormat="1" applyFont="1" applyFill="1" applyBorder="1" applyAlignment="1">
      <alignment horizontal="left" vertical="center" wrapText="1"/>
    </xf>
  </cellXfs>
  <cellStyles count="119">
    <cellStyle name="20 % – Zvýraznění 1" xfId="88" builtinId="30" customBuiltin="1"/>
    <cellStyle name="20 % – Zvýraznění 2" xfId="91" builtinId="34" customBuiltin="1"/>
    <cellStyle name="20 % – Zvýraznění 3" xfId="94" builtinId="38" customBuiltin="1"/>
    <cellStyle name="20 % – Zvýraznění 4" xfId="97" builtinId="42" customBuiltin="1"/>
    <cellStyle name="20 % – Zvýraznění 5" xfId="100" builtinId="46" customBuiltin="1"/>
    <cellStyle name="20 % – Zvýraznění 6" xfId="103" builtinId="50" customBuiltin="1"/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 1" xfId="89" builtinId="31" customBuiltin="1"/>
    <cellStyle name="40 % – Zvýraznění 2" xfId="92" builtinId="35" customBuiltin="1"/>
    <cellStyle name="40 % – Zvýraznění 3" xfId="95" builtinId="39" customBuiltin="1"/>
    <cellStyle name="40 % – Zvýraznění 4" xfId="98" builtinId="43" customBuiltin="1"/>
    <cellStyle name="40 % – Zvýraznění 5" xfId="101" builtinId="47" customBuiltin="1"/>
    <cellStyle name="40 % – Zvýraznění 6" xfId="104" builtinId="51" customBuiltin="1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 1" xfId="90" builtinId="32" customBuiltin="1"/>
    <cellStyle name="60 % – Zvýraznění 2" xfId="93" builtinId="36" customBuiltin="1"/>
    <cellStyle name="60 % – Zvýraznění 3" xfId="96" builtinId="40" customBuiltin="1"/>
    <cellStyle name="60 % – Zvýraznění 4" xfId="99" builtinId="44" customBuiltin="1"/>
    <cellStyle name="60 % – Zvýraznění 5" xfId="102" builtinId="48" customBuiltin="1"/>
    <cellStyle name="60 % – Zvýraznění 6" xfId="105" builtinId="52" customBuiltin="1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" xfId="19" builtinId="25" customBuiltin="1"/>
    <cellStyle name="Celkem 2" xfId="20" xr:uid="{00000000-0005-0000-0000-000013000000}"/>
    <cellStyle name="Čárka 2" xfId="21" xr:uid="{00000000-0005-0000-0000-000014000000}"/>
    <cellStyle name="čárky 2" xfId="22" xr:uid="{00000000-0005-0000-0000-000015000000}"/>
    <cellStyle name="čárky 2 2" xfId="23" xr:uid="{00000000-0005-0000-0000-000016000000}"/>
    <cellStyle name="čárky 3" xfId="24" xr:uid="{00000000-0005-0000-0000-000017000000}"/>
    <cellStyle name="Chybně 2" xfId="25" xr:uid="{00000000-0005-0000-0000-000018000000}"/>
    <cellStyle name="Kontrolní buňka" xfId="26" builtinId="23" customBuiltin="1"/>
    <cellStyle name="Kontrolní buňka 2" xfId="27" xr:uid="{00000000-0005-0000-0000-00001A000000}"/>
    <cellStyle name="Nadpis 1" xfId="28" builtinId="16" customBuiltin="1"/>
    <cellStyle name="Nadpis 1 2" xfId="29" xr:uid="{00000000-0005-0000-0000-00001C000000}"/>
    <cellStyle name="Nadpis 2" xfId="30" builtinId="17" customBuiltin="1"/>
    <cellStyle name="Nadpis 2 2" xfId="31" xr:uid="{00000000-0005-0000-0000-00001E000000}"/>
    <cellStyle name="Nadpis 3" xfId="32" builtinId="18" customBuiltin="1"/>
    <cellStyle name="Nadpis 3 2" xfId="33" xr:uid="{00000000-0005-0000-0000-000020000000}"/>
    <cellStyle name="Nadpis 4" xfId="34" builtinId="19" customBuiltin="1"/>
    <cellStyle name="Nadpis 4 2" xfId="35" xr:uid="{00000000-0005-0000-0000-000022000000}"/>
    <cellStyle name="Název" xfId="36" builtinId="15" customBuiltin="1"/>
    <cellStyle name="Název 2" xfId="37" xr:uid="{00000000-0005-0000-0000-000024000000}"/>
    <cellStyle name="Název 3" xfId="107" xr:uid="{334DAACF-C0AA-4573-A3DC-39FD86BF2DAE}"/>
    <cellStyle name="Neutrální" xfId="38" builtinId="28" customBuiltin="1"/>
    <cellStyle name="Neutrální 2" xfId="39" xr:uid="{00000000-0005-0000-0000-000026000000}"/>
    <cellStyle name="Neutrální 3" xfId="108" xr:uid="{6A87629C-26CA-43A5-AE58-247E7024A1B9}"/>
    <cellStyle name="Normální" xfId="0" builtinId="0"/>
    <cellStyle name="Normální 10" xfId="111" xr:uid="{FD35EA1C-190F-435E-BDD8-52CCBD065CA1}"/>
    <cellStyle name="Normální 11" xfId="117" xr:uid="{19AFCCF7-6E92-4DD6-ABCB-DFEB1391A4E2}"/>
    <cellStyle name="Normální 11 2" xfId="40" xr:uid="{00000000-0005-0000-0000-000028000000}"/>
    <cellStyle name="Normální 11 2 2" xfId="118" xr:uid="{DA46F052-7C1A-4BD8-9AB7-86B5BDB48F1E}"/>
    <cellStyle name="Normální 14" xfId="41" xr:uid="{00000000-0005-0000-0000-000029000000}"/>
    <cellStyle name="Normální 15 2" xfId="42" xr:uid="{00000000-0005-0000-0000-00002A000000}"/>
    <cellStyle name="Normální 2" xfId="43" xr:uid="{00000000-0005-0000-0000-00002B000000}"/>
    <cellStyle name="Normální 2 2" xfId="44" xr:uid="{00000000-0005-0000-0000-00002C000000}"/>
    <cellStyle name="normální 2 3" xfId="85" xr:uid="{3A2A8FA1-140F-41EF-BF03-47356DE15BE2}"/>
    <cellStyle name="Normální 2 4" xfId="114" xr:uid="{AAD1A30A-8ECA-4B94-AC48-2C73F1FE9AD0}"/>
    <cellStyle name="Normální 2 5" xfId="115" xr:uid="{326DB5C9-5704-4BC7-A64E-63C5E79974FA}"/>
    <cellStyle name="Normální 3" xfId="45" xr:uid="{00000000-0005-0000-0000-00002D000000}"/>
    <cellStyle name="Normální 38" xfId="113" xr:uid="{DA481A80-A5D0-44A3-BA65-26532BBA3EB6}"/>
    <cellStyle name="Normální 4" xfId="46" xr:uid="{00000000-0005-0000-0000-00002E000000}"/>
    <cellStyle name="Normální 5" xfId="47" xr:uid="{00000000-0005-0000-0000-00002F000000}"/>
    <cellStyle name="Normální 6" xfId="48" xr:uid="{00000000-0005-0000-0000-000030000000}"/>
    <cellStyle name="Normální 7" xfId="86" xr:uid="{33228297-D58E-4A8D-B781-D10425B0CB97}"/>
    <cellStyle name="Normální 8" xfId="106" xr:uid="{EC2CBF4A-F570-4A03-A749-17054EAADD63}"/>
    <cellStyle name="Normální 9" xfId="110" xr:uid="{BA1D5A8B-ED2E-4F29-9A7C-F2F177A3BDA7}"/>
    <cellStyle name="normální_01 Sumář požad. odborů+návrh EO II. z 09-09-2009 2" xfId="116" xr:uid="{F99160FE-9BF2-4291-823D-DDBF897D467E}"/>
    <cellStyle name="normální_02 Rozdeleni HV 2010 a zustatek v 919 91514 92014 93503 923, 18-02-2011" xfId="49" xr:uid="{00000000-0005-0000-0000-000032000000}"/>
    <cellStyle name="normální_04 Kap. 923 a 924 2013, 26-05-2014" xfId="50" xr:uid="{00000000-0005-0000-0000-000033000000}"/>
    <cellStyle name="normální_05. Návrh rozpočtu 2009 - rozpis příjmů_03. Tabulková část 2013" xfId="51" xr:uid="{00000000-0005-0000-0000-000034000000}"/>
    <cellStyle name="normální_2. Rozpočet 2007 - tabulky" xfId="52" xr:uid="{00000000-0005-0000-0000-000035000000}"/>
    <cellStyle name="normální_P02_Tabulková část_ZÚ_kraje_za_rok_2008" xfId="53" xr:uid="{00000000-0005-0000-0000-000036000000}"/>
    <cellStyle name="normální_Rozpis výdajů 03 bez PO" xfId="112" xr:uid="{16FEEDAC-6DD4-4A3F-AE61-6520E7CAB19E}"/>
    <cellStyle name="normální_Ukazatele" xfId="54" xr:uid="{00000000-0005-0000-0000-000037000000}"/>
    <cellStyle name="Poznámka" xfId="55" builtinId="10" customBuiltin="1"/>
    <cellStyle name="Poznámka 2" xfId="56" xr:uid="{00000000-0005-0000-0000-000039000000}"/>
    <cellStyle name="Poznámka 3" xfId="109" xr:uid="{62936B88-0FBB-49B5-8B3F-0F30CD97643A}"/>
    <cellStyle name="Procenta 2" xfId="57" xr:uid="{00000000-0005-0000-0000-00003A000000}"/>
    <cellStyle name="Propojená buňka" xfId="58" builtinId="24" customBuiltin="1"/>
    <cellStyle name="Propojená buňka 2" xfId="59" xr:uid="{00000000-0005-0000-0000-00003C000000}"/>
    <cellStyle name="S8M1" xfId="60" xr:uid="{00000000-0005-0000-0000-00003D000000}"/>
    <cellStyle name="Správně" xfId="61" builtinId="26" customBuiltin="1"/>
    <cellStyle name="Správně 2" xfId="62" xr:uid="{00000000-0005-0000-0000-00003F000000}"/>
    <cellStyle name="Špatně" xfId="87" builtinId="27" customBuiltin="1"/>
    <cellStyle name="Text upozornění" xfId="63" builtinId="11" customBuiltin="1"/>
    <cellStyle name="Text upozornění 2" xfId="64" xr:uid="{00000000-0005-0000-0000-000041000000}"/>
    <cellStyle name="Vstup" xfId="65" builtinId="20" customBuiltin="1"/>
    <cellStyle name="Vstup 2" xfId="66" xr:uid="{00000000-0005-0000-0000-000043000000}"/>
    <cellStyle name="Výpočet" xfId="67" builtinId="22" customBuiltin="1"/>
    <cellStyle name="Výpočet 2" xfId="68" xr:uid="{00000000-0005-0000-0000-000045000000}"/>
    <cellStyle name="Výstup" xfId="69" builtinId="21" customBuiltin="1"/>
    <cellStyle name="Výstup 2" xfId="70" xr:uid="{00000000-0005-0000-0000-000047000000}"/>
    <cellStyle name="Vysvětlující text" xfId="71" builtinId="53" customBuiltin="1"/>
    <cellStyle name="Vysvětlující text 2" xfId="72" xr:uid="{00000000-0005-0000-0000-000049000000}"/>
    <cellStyle name="Zvýraznění 1" xfId="73" builtinId="29" customBuiltin="1"/>
    <cellStyle name="Zvýraznění 1 2" xfId="74" xr:uid="{00000000-0005-0000-0000-00004B000000}"/>
    <cellStyle name="Zvýraznění 2" xfId="75" builtinId="33" customBuiltin="1"/>
    <cellStyle name="Zvýraznění 2 2" xfId="76" xr:uid="{00000000-0005-0000-0000-00004D000000}"/>
    <cellStyle name="Zvýraznění 3" xfId="77" builtinId="37" customBuiltin="1"/>
    <cellStyle name="Zvýraznění 3 2" xfId="78" xr:uid="{00000000-0005-0000-0000-00004F000000}"/>
    <cellStyle name="Zvýraznění 4" xfId="79" builtinId="41" customBuiltin="1"/>
    <cellStyle name="Zvýraznění 4 2" xfId="80" xr:uid="{00000000-0005-0000-0000-000051000000}"/>
    <cellStyle name="Zvýraznění 5" xfId="81" builtinId="45" customBuiltin="1"/>
    <cellStyle name="Zvýraznění 5 2" xfId="82" xr:uid="{00000000-0005-0000-0000-000053000000}"/>
    <cellStyle name="Zvýraznění 6" xfId="83" builtinId="49" customBuiltin="1"/>
    <cellStyle name="Zvýraznění 6 2" xfId="84" xr:uid="{00000000-0005-0000-0000-000055000000}"/>
  </cellStyles>
  <dxfs count="0"/>
  <tableStyles count="0" defaultTableStyle="TableStyleMedium2" defaultPivotStyle="PivotStyleLight16"/>
  <colors>
    <mruColors>
      <color rgb="FF00CC00"/>
      <color rgb="FF008000"/>
      <color rgb="FFCCCC00"/>
      <color rgb="FFF8F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I37"/>
  <sheetViews>
    <sheetView workbookViewId="0">
      <selection activeCell="O38" sqref="O38"/>
    </sheetView>
  </sheetViews>
  <sheetFormatPr defaultRowHeight="12.75" x14ac:dyDescent="0.2"/>
  <cols>
    <col min="1" max="1" width="6.140625" customWidth="1"/>
    <col min="2" max="2" width="5.85546875" style="1509" customWidth="1"/>
    <col min="3" max="3" width="9.140625" style="1515"/>
    <col min="8" max="8" width="24.28515625" customWidth="1"/>
    <col min="9" max="9" width="7.7109375" customWidth="1"/>
  </cols>
  <sheetData>
    <row r="1" spans="1:9" ht="25.5" x14ac:dyDescent="0.35">
      <c r="A1" s="1747" t="s">
        <v>558</v>
      </c>
      <c r="B1" s="1747"/>
      <c r="C1" s="1747"/>
      <c r="D1" s="1747"/>
      <c r="E1" s="1747"/>
      <c r="F1" s="1747"/>
      <c r="G1" s="1747"/>
      <c r="H1" s="1747"/>
      <c r="I1" s="1747"/>
    </row>
    <row r="2" spans="1:9" ht="18" customHeight="1" x14ac:dyDescent="0.4">
      <c r="A2" s="254"/>
      <c r="B2" s="1508"/>
      <c r="C2" s="1514"/>
      <c r="D2" s="254"/>
      <c r="E2" s="254"/>
      <c r="F2" s="254"/>
      <c r="G2" s="254"/>
      <c r="H2" s="254"/>
      <c r="I2" s="254"/>
    </row>
    <row r="3" spans="1:9" ht="18" customHeight="1" x14ac:dyDescent="0.2"/>
    <row r="4" spans="1:9" ht="27" customHeight="1" x14ac:dyDescent="0.35">
      <c r="A4" s="1748" t="s">
        <v>829</v>
      </c>
      <c r="B4" s="1748"/>
      <c r="C4" s="1748"/>
      <c r="D4" s="1748"/>
      <c r="E4" s="1748"/>
      <c r="F4" s="1748"/>
      <c r="G4" s="1748"/>
      <c r="H4" s="1748"/>
      <c r="I4" s="1748"/>
    </row>
    <row r="5" spans="1:9" ht="18.75" customHeight="1" x14ac:dyDescent="0.3">
      <c r="A5" s="326"/>
      <c r="B5" s="1510"/>
      <c r="C5" s="1516"/>
      <c r="D5" s="326"/>
      <c r="E5" s="326"/>
      <c r="F5" s="326"/>
      <c r="G5" s="326"/>
      <c r="H5" s="326"/>
      <c r="I5" s="326"/>
    </row>
    <row r="6" spans="1:9" ht="18.75" customHeight="1" x14ac:dyDescent="0.2"/>
    <row r="7" spans="1:9" ht="20.25" x14ac:dyDescent="0.3">
      <c r="A7" s="1749" t="s">
        <v>811</v>
      </c>
      <c r="B7" s="1749"/>
      <c r="C7" s="1749"/>
      <c r="D7" s="1749"/>
      <c r="E7" s="1749"/>
      <c r="F7" s="1749"/>
      <c r="G7" s="1749"/>
      <c r="H7" s="1749"/>
      <c r="I7" s="1749"/>
    </row>
    <row r="8" spans="1:9" ht="18" customHeight="1" x14ac:dyDescent="0.25">
      <c r="A8" s="3"/>
      <c r="B8" s="1511"/>
      <c r="C8" s="1517"/>
      <c r="D8" s="3"/>
      <c r="E8" s="3"/>
      <c r="F8" s="3"/>
      <c r="G8" s="3"/>
      <c r="H8" s="3"/>
      <c r="I8" s="3"/>
    </row>
    <row r="9" spans="1:9" ht="18" customHeight="1" x14ac:dyDescent="0.25">
      <c r="A9" s="3"/>
      <c r="B9" s="1511"/>
      <c r="C9" s="1517"/>
      <c r="D9" s="3"/>
      <c r="E9" s="3"/>
      <c r="F9" s="3"/>
      <c r="G9" s="3"/>
      <c r="H9" s="3"/>
      <c r="I9" s="3"/>
    </row>
    <row r="10" spans="1:9" s="66" customFormat="1" ht="17.25" customHeight="1" x14ac:dyDescent="0.25">
      <c r="B10" s="1512">
        <v>1</v>
      </c>
      <c r="C10" s="1746" t="s">
        <v>830</v>
      </c>
      <c r="D10" s="1746"/>
      <c r="E10" s="1746"/>
      <c r="F10" s="1746"/>
      <c r="G10" s="1746"/>
      <c r="H10" s="1746"/>
    </row>
    <row r="11" spans="1:9" s="66" customFormat="1" ht="17.25" customHeight="1" x14ac:dyDescent="0.25">
      <c r="B11" s="1512">
        <v>2</v>
      </c>
      <c r="C11" s="1746" t="s">
        <v>846</v>
      </c>
      <c r="D11" s="1746"/>
      <c r="E11" s="1746"/>
      <c r="F11" s="1746"/>
      <c r="G11" s="1746"/>
      <c r="H11" s="1746"/>
    </row>
    <row r="12" spans="1:9" s="66" customFormat="1" ht="17.25" customHeight="1" x14ac:dyDescent="0.25">
      <c r="A12" s="84"/>
      <c r="B12" s="1512">
        <v>3</v>
      </c>
      <c r="C12" s="1746" t="s">
        <v>847</v>
      </c>
      <c r="D12" s="1746"/>
      <c r="E12" s="1746"/>
      <c r="F12" s="1746"/>
      <c r="G12" s="1746"/>
      <c r="H12" s="1746"/>
    </row>
    <row r="13" spans="1:9" s="66" customFormat="1" ht="17.25" customHeight="1" x14ac:dyDescent="0.25">
      <c r="A13" s="84"/>
      <c r="B13" s="1512">
        <v>4</v>
      </c>
      <c r="C13" s="1746" t="s">
        <v>1710</v>
      </c>
      <c r="D13" s="1746"/>
      <c r="E13" s="1746"/>
      <c r="F13" s="1746"/>
      <c r="G13" s="1746"/>
      <c r="H13" s="1746"/>
    </row>
    <row r="14" spans="1:9" s="66" customFormat="1" ht="17.25" customHeight="1" x14ac:dyDescent="0.25">
      <c r="A14" s="84"/>
      <c r="B14" s="1512">
        <v>5</v>
      </c>
      <c r="C14" s="1746" t="s">
        <v>1711</v>
      </c>
      <c r="D14" s="1746"/>
      <c r="E14" s="1746"/>
      <c r="F14" s="1746"/>
      <c r="G14" s="1746"/>
      <c r="H14" s="1746"/>
    </row>
    <row r="15" spans="1:9" s="125" customFormat="1" ht="17.25" customHeight="1" x14ac:dyDescent="0.25">
      <c r="A15" s="1104"/>
      <c r="B15" s="1512">
        <v>6</v>
      </c>
      <c r="C15" s="1746" t="s">
        <v>852</v>
      </c>
      <c r="D15" s="1746"/>
      <c r="E15" s="1746"/>
      <c r="F15" s="1746"/>
      <c r="G15" s="1746"/>
      <c r="H15" s="1746"/>
    </row>
    <row r="16" spans="1:9" s="66" customFormat="1" ht="17.25" customHeight="1" x14ac:dyDescent="0.25">
      <c r="A16" s="84"/>
      <c r="B16" s="1512">
        <v>7</v>
      </c>
      <c r="C16" s="1746" t="s">
        <v>1043</v>
      </c>
      <c r="D16" s="1746"/>
      <c r="E16" s="1746"/>
      <c r="F16" s="1746"/>
      <c r="G16" s="1746"/>
      <c r="H16" s="1746"/>
    </row>
    <row r="17" spans="1:8" s="66" customFormat="1" ht="17.25" customHeight="1" x14ac:dyDescent="0.25">
      <c r="A17" s="84"/>
      <c r="B17" s="1512">
        <v>8</v>
      </c>
      <c r="C17" s="1746" t="s">
        <v>1044</v>
      </c>
      <c r="D17" s="1746"/>
      <c r="E17" s="1746"/>
      <c r="F17" s="1746"/>
      <c r="G17" s="1746"/>
      <c r="H17" s="1746"/>
    </row>
    <row r="18" spans="1:8" s="85" customFormat="1" ht="17.25" customHeight="1" x14ac:dyDescent="0.25">
      <c r="A18" s="1287"/>
      <c r="B18" s="1512">
        <v>9</v>
      </c>
      <c r="C18" s="1752" t="s">
        <v>1712</v>
      </c>
      <c r="D18" s="1752"/>
      <c r="E18" s="1752"/>
      <c r="F18" s="1752"/>
      <c r="G18" s="1752"/>
      <c r="H18" s="1752"/>
    </row>
    <row r="19" spans="1:8" s="85" customFormat="1" ht="17.25" customHeight="1" x14ac:dyDescent="0.25">
      <c r="A19" s="1287"/>
      <c r="B19" s="1512">
        <v>10</v>
      </c>
      <c r="C19" s="1752" t="s">
        <v>1713</v>
      </c>
      <c r="D19" s="1752"/>
      <c r="E19" s="1752"/>
      <c r="F19" s="1752"/>
      <c r="G19" s="1752"/>
      <c r="H19" s="1752"/>
    </row>
    <row r="20" spans="1:8" s="85" customFormat="1" ht="17.25" customHeight="1" x14ac:dyDescent="0.25">
      <c r="A20" s="1287"/>
      <c r="B20" s="1512">
        <v>11</v>
      </c>
      <c r="C20" s="1752" t="s">
        <v>1699</v>
      </c>
      <c r="D20" s="1752"/>
      <c r="E20" s="1752"/>
      <c r="F20" s="1752"/>
      <c r="G20" s="1752"/>
      <c r="H20" s="1752"/>
    </row>
    <row r="21" spans="1:8" s="66" customFormat="1" ht="17.25" customHeight="1" x14ac:dyDescent="0.25">
      <c r="A21" s="84"/>
      <c r="B21" s="1512">
        <v>12</v>
      </c>
      <c r="C21" s="1752" t="s">
        <v>1700</v>
      </c>
      <c r="D21" s="1752"/>
      <c r="E21" s="1752"/>
      <c r="F21" s="1752"/>
      <c r="G21" s="1752"/>
      <c r="H21" s="1752"/>
    </row>
    <row r="22" spans="1:8" s="66" customFormat="1" ht="17.25" customHeight="1" x14ac:dyDescent="0.25">
      <c r="A22" s="84"/>
      <c r="B22" s="1512">
        <v>13</v>
      </c>
      <c r="C22" s="1752" t="s">
        <v>1209</v>
      </c>
      <c r="D22" s="1752"/>
      <c r="E22" s="1752"/>
      <c r="F22" s="1752"/>
      <c r="G22" s="1752"/>
      <c r="H22" s="1752"/>
    </row>
    <row r="23" spans="1:8" s="66" customFormat="1" ht="17.25" customHeight="1" x14ac:dyDescent="0.25">
      <c r="A23" s="84"/>
      <c r="B23" s="1512">
        <v>14</v>
      </c>
      <c r="C23" s="1752" t="s">
        <v>1704</v>
      </c>
      <c r="D23" s="1752"/>
      <c r="E23" s="1752"/>
      <c r="F23" s="1752"/>
      <c r="G23" s="1752"/>
      <c r="H23" s="1752"/>
    </row>
    <row r="24" spans="1:8" s="66" customFormat="1" ht="17.25" customHeight="1" x14ac:dyDescent="0.25">
      <c r="A24" s="84"/>
      <c r="B24" s="1512">
        <v>15</v>
      </c>
      <c r="C24" s="1752" t="s">
        <v>1705</v>
      </c>
      <c r="D24" s="1752"/>
      <c r="E24" s="1752"/>
      <c r="F24" s="1752"/>
      <c r="G24" s="1752"/>
      <c r="H24" s="1752"/>
    </row>
    <row r="25" spans="1:8" s="66" customFormat="1" ht="17.25" customHeight="1" x14ac:dyDescent="0.25">
      <c r="A25" s="84"/>
      <c r="B25" s="1512">
        <v>16</v>
      </c>
      <c r="C25" s="1752" t="s">
        <v>1707</v>
      </c>
      <c r="D25" s="1752"/>
      <c r="E25" s="1752"/>
      <c r="F25" s="1752"/>
      <c r="G25" s="1752"/>
      <c r="H25" s="1752"/>
    </row>
    <row r="26" spans="1:8" s="66" customFormat="1" ht="17.25" customHeight="1" x14ac:dyDescent="0.25">
      <c r="A26" s="84"/>
      <c r="B26" s="1512">
        <v>17</v>
      </c>
      <c r="C26" s="1746" t="s">
        <v>1706</v>
      </c>
      <c r="D26" s="1746"/>
      <c r="E26" s="1746"/>
      <c r="F26" s="1746"/>
      <c r="G26" s="1746"/>
      <c r="H26" s="1746"/>
    </row>
    <row r="27" spans="1:8" s="84" customFormat="1" ht="17.25" customHeight="1" x14ac:dyDescent="0.25">
      <c r="B27" s="1512">
        <v>18</v>
      </c>
      <c r="C27" s="1518" t="s">
        <v>1100</v>
      </c>
      <c r="D27" s="1518"/>
      <c r="E27" s="1518"/>
      <c r="F27" s="1518"/>
      <c r="G27" s="1518"/>
      <c r="H27" s="1518"/>
    </row>
    <row r="28" spans="1:8" s="84" customFormat="1" ht="17.25" customHeight="1" x14ac:dyDescent="0.25">
      <c r="B28" s="1512">
        <v>19</v>
      </c>
      <c r="C28" s="1518" t="s">
        <v>1101</v>
      </c>
      <c r="D28" s="1518"/>
      <c r="E28" s="1518"/>
      <c r="F28" s="1518"/>
      <c r="G28" s="1518"/>
      <c r="H28" s="1518"/>
    </row>
    <row r="29" spans="1:8" s="84" customFormat="1" ht="17.25" customHeight="1" x14ac:dyDescent="0.25">
      <c r="B29" s="1512">
        <v>20</v>
      </c>
      <c r="C29" s="1518" t="s">
        <v>1732</v>
      </c>
      <c r="D29" s="1518"/>
      <c r="E29" s="1518"/>
      <c r="F29" s="1518"/>
      <c r="G29" s="1518"/>
      <c r="H29" s="1518"/>
    </row>
    <row r="30" spans="1:8" s="84" customFormat="1" ht="17.25" customHeight="1" x14ac:dyDescent="0.25">
      <c r="B30" s="1512">
        <v>21</v>
      </c>
      <c r="C30" s="1750" t="s">
        <v>1203</v>
      </c>
      <c r="D30" s="1750"/>
      <c r="E30" s="1750"/>
      <c r="F30" s="1750"/>
      <c r="G30" s="1750"/>
      <c r="H30" s="1750"/>
    </row>
    <row r="31" spans="1:8" ht="17.25" customHeight="1" x14ac:dyDescent="0.25">
      <c r="B31" s="1512">
        <v>22</v>
      </c>
      <c r="C31" s="1750" t="s">
        <v>1102</v>
      </c>
      <c r="D31" s="1750"/>
      <c r="E31" s="1750"/>
      <c r="F31" s="1750"/>
      <c r="G31" s="1750"/>
      <c r="H31" s="1750"/>
    </row>
    <row r="32" spans="1:8" ht="15.75" x14ac:dyDescent="0.25">
      <c r="B32" s="1512"/>
      <c r="C32" s="1745"/>
      <c r="D32" s="1745"/>
      <c r="E32" s="1745"/>
      <c r="F32" s="1745"/>
      <c r="G32" s="1745"/>
      <c r="H32" s="1745"/>
    </row>
    <row r="33" spans="1:9" x14ac:dyDescent="0.2">
      <c r="B33" s="1513"/>
      <c r="D33" s="35"/>
      <c r="E33" s="35"/>
      <c r="F33" s="35"/>
      <c r="G33" s="35"/>
      <c r="H33" s="35"/>
    </row>
    <row r="34" spans="1:9" x14ac:dyDescent="0.2">
      <c r="B34" s="1513"/>
      <c r="D34" s="35"/>
      <c r="E34" s="35"/>
      <c r="F34" s="35"/>
      <c r="G34" s="35"/>
      <c r="H34" s="35"/>
    </row>
    <row r="35" spans="1:9" x14ac:dyDescent="0.2">
      <c r="B35" s="1513"/>
      <c r="D35" s="35"/>
      <c r="E35" s="35"/>
      <c r="F35" s="35"/>
      <c r="G35" s="35"/>
      <c r="H35" s="35"/>
    </row>
    <row r="36" spans="1:9" x14ac:dyDescent="0.2">
      <c r="B36" s="1513"/>
      <c r="D36" s="35"/>
      <c r="E36" s="35"/>
      <c r="F36" s="35"/>
      <c r="G36" s="35"/>
      <c r="H36" s="35"/>
    </row>
    <row r="37" spans="1:9" ht="15.75" x14ac:dyDescent="0.25">
      <c r="A37" s="1751" t="s">
        <v>1103</v>
      </c>
      <c r="B37" s="1751"/>
      <c r="C37" s="1751"/>
      <c r="D37" s="1751"/>
      <c r="E37" s="1751"/>
      <c r="F37" s="1751"/>
      <c r="G37" s="1751"/>
      <c r="H37" s="1751"/>
      <c r="I37" s="1751"/>
    </row>
  </sheetData>
  <mergeCells count="24">
    <mergeCell ref="A37:I37"/>
    <mergeCell ref="C12:H12"/>
    <mergeCell ref="C16:H16"/>
    <mergeCell ref="C15:H15"/>
    <mergeCell ref="C17:H17"/>
    <mergeCell ref="C22:H22"/>
    <mergeCell ref="C24:H24"/>
    <mergeCell ref="C19:H19"/>
    <mergeCell ref="C25:H25"/>
    <mergeCell ref="C26:H26"/>
    <mergeCell ref="C18:H18"/>
    <mergeCell ref="C14:H14"/>
    <mergeCell ref="C20:H20"/>
    <mergeCell ref="C23:H23"/>
    <mergeCell ref="C31:H31"/>
    <mergeCell ref="C21:H21"/>
    <mergeCell ref="C32:H32"/>
    <mergeCell ref="C10:H10"/>
    <mergeCell ref="A1:I1"/>
    <mergeCell ref="A4:I4"/>
    <mergeCell ref="A7:I7"/>
    <mergeCell ref="C13:H13"/>
    <mergeCell ref="C11:H11"/>
    <mergeCell ref="C30:H30"/>
  </mergeCells>
  <phoneticPr fontId="6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HR109"/>
  <sheetViews>
    <sheetView tabSelected="1" zoomScaleNormal="100" workbookViewId="0">
      <selection activeCell="A3" sqref="A3"/>
    </sheetView>
  </sheetViews>
  <sheetFormatPr defaultRowHeight="12.75" x14ac:dyDescent="0.2"/>
  <cols>
    <col min="1" max="1" width="4.7109375" style="256" customWidth="1"/>
    <col min="2" max="2" width="7.28515625" style="256" customWidth="1"/>
    <col min="3" max="3" width="36.42578125" style="256" bestFit="1" customWidth="1"/>
    <col min="4" max="4" width="14.7109375" style="257" customWidth="1"/>
    <col min="5" max="5" width="14.7109375" style="256" customWidth="1"/>
    <col min="6" max="6" width="13.5703125" style="256" customWidth="1"/>
    <col min="7" max="16384" width="9.140625" style="256"/>
  </cols>
  <sheetData>
    <row r="1" spans="1:8" x14ac:dyDescent="0.2">
      <c r="E1" s="1933" t="s">
        <v>800</v>
      </c>
      <c r="F1" s="1933"/>
    </row>
    <row r="2" spans="1:8" ht="31.5" customHeight="1" x14ac:dyDescent="0.2">
      <c r="A2" s="1913" t="s">
        <v>1714</v>
      </c>
      <c r="B2" s="1913"/>
      <c r="C2" s="1913"/>
      <c r="D2" s="1913"/>
      <c r="E2" s="1913"/>
      <c r="F2" s="1913"/>
      <c r="H2" s="1324"/>
    </row>
    <row r="3" spans="1:8" ht="12.75" customHeight="1" x14ac:dyDescent="0.25">
      <c r="A3" s="258"/>
      <c r="B3" s="258"/>
      <c r="C3" s="258"/>
      <c r="D3" s="259"/>
      <c r="E3" s="258"/>
      <c r="F3" s="258"/>
    </row>
    <row r="4" spans="1:8" x14ac:dyDescent="0.2">
      <c r="A4" s="1928" t="s">
        <v>580</v>
      </c>
      <c r="B4" s="1928"/>
      <c r="C4" s="1928"/>
      <c r="D4" s="1928"/>
      <c r="E4" s="1928"/>
      <c r="F4" s="1928"/>
    </row>
    <row r="5" spans="1:8" ht="13.5" thickBot="1" x14ac:dyDescent="0.25">
      <c r="A5" s="260"/>
      <c r="B5" s="260"/>
      <c r="C5" s="260"/>
      <c r="D5" s="261"/>
      <c r="E5" s="260"/>
      <c r="F5" s="260"/>
    </row>
    <row r="6" spans="1:8" ht="13.5" thickBot="1" x14ac:dyDescent="0.25">
      <c r="A6" s="262" t="s">
        <v>581</v>
      </c>
      <c r="B6" s="263" t="s">
        <v>582</v>
      </c>
      <c r="C6" s="264" t="s">
        <v>583</v>
      </c>
      <c r="D6" s="265" t="s">
        <v>584</v>
      </c>
      <c r="E6" s="263" t="s">
        <v>585</v>
      </c>
      <c r="F6" s="299" t="s">
        <v>586</v>
      </c>
    </row>
    <row r="7" spans="1:8" ht="13.5" thickBot="1" x14ac:dyDescent="0.25">
      <c r="A7" s="267">
        <v>1</v>
      </c>
      <c r="B7" s="571" t="s">
        <v>587</v>
      </c>
      <c r="C7" s="268" t="s">
        <v>588</v>
      </c>
      <c r="D7" s="1059">
        <v>450000</v>
      </c>
      <c r="E7" s="1059">
        <v>450000</v>
      </c>
      <c r="F7" s="1090">
        <v>0</v>
      </c>
    </row>
    <row r="8" spans="1:8" ht="13.5" thickBot="1" x14ac:dyDescent="0.25">
      <c r="A8" s="262">
        <v>304</v>
      </c>
      <c r="B8" s="1926" t="s">
        <v>589</v>
      </c>
      <c r="C8" s="1927"/>
      <c r="D8" s="271">
        <f>SUM(D7:D7)</f>
        <v>450000</v>
      </c>
      <c r="E8" s="272">
        <f>SUM(E7:E7)</f>
        <v>450000</v>
      </c>
      <c r="F8" s="273">
        <f>SUM(F7:F7)</f>
        <v>0</v>
      </c>
    </row>
    <row r="9" spans="1:8" x14ac:dyDescent="0.2">
      <c r="A9" s="286"/>
      <c r="B9" s="287"/>
      <c r="C9" s="287"/>
      <c r="D9" s="288"/>
      <c r="E9" s="289"/>
      <c r="F9" s="289"/>
    </row>
    <row r="10" spans="1:8" x14ac:dyDescent="0.2">
      <c r="A10" s="1928" t="s">
        <v>590</v>
      </c>
      <c r="B10" s="1928"/>
      <c r="C10" s="1928"/>
      <c r="D10" s="1928"/>
      <c r="E10" s="1928"/>
      <c r="F10" s="1928"/>
    </row>
    <row r="11" spans="1:8" ht="13.5" thickBot="1" x14ac:dyDescent="0.25">
      <c r="A11" s="260"/>
      <c r="B11" s="260"/>
      <c r="C11" s="260"/>
      <c r="D11" s="261"/>
      <c r="E11" s="260"/>
      <c r="F11" s="260"/>
    </row>
    <row r="12" spans="1:8" ht="13.5" thickBot="1" x14ac:dyDescent="0.25">
      <c r="A12" s="274" t="s">
        <v>581</v>
      </c>
      <c r="B12" s="275" t="s">
        <v>582</v>
      </c>
      <c r="C12" s="276" t="s">
        <v>583</v>
      </c>
      <c r="D12" s="277" t="s">
        <v>584</v>
      </c>
      <c r="E12" s="275" t="s">
        <v>585</v>
      </c>
      <c r="F12" s="299" t="s">
        <v>586</v>
      </c>
    </row>
    <row r="13" spans="1:8" x14ac:dyDescent="0.2">
      <c r="A13" s="296">
        <v>1</v>
      </c>
      <c r="B13" s="688">
        <v>13015</v>
      </c>
      <c r="C13" s="1089" t="s">
        <v>591</v>
      </c>
      <c r="D13" s="1060">
        <v>872623</v>
      </c>
      <c r="E13" s="1056">
        <f>D13-F13</f>
        <v>872623</v>
      </c>
      <c r="F13" s="1090">
        <v>0</v>
      </c>
    </row>
    <row r="14" spans="1:8" x14ac:dyDescent="0.2">
      <c r="A14" s="278">
        <v>2</v>
      </c>
      <c r="B14" s="317">
        <v>13305</v>
      </c>
      <c r="C14" s="293" t="s">
        <v>779</v>
      </c>
      <c r="D14" s="280">
        <v>864912135</v>
      </c>
      <c r="E14" s="281">
        <v>862898197.69000006</v>
      </c>
      <c r="F14" s="270">
        <v>2013937.31</v>
      </c>
    </row>
    <row r="15" spans="1:8" x14ac:dyDescent="0.2">
      <c r="A15" s="278">
        <v>3</v>
      </c>
      <c r="B15" s="317">
        <v>13307</v>
      </c>
      <c r="C15" s="293" t="s">
        <v>592</v>
      </c>
      <c r="D15" s="280">
        <v>6991564</v>
      </c>
      <c r="E15" s="281">
        <v>5305604</v>
      </c>
      <c r="F15" s="270">
        <v>1685960</v>
      </c>
    </row>
    <row r="16" spans="1:8" x14ac:dyDescent="0.2">
      <c r="A16" s="278">
        <v>4</v>
      </c>
      <c r="B16" s="317">
        <v>13351</v>
      </c>
      <c r="C16" s="293" t="s">
        <v>780</v>
      </c>
      <c r="D16" s="280">
        <v>132236881</v>
      </c>
      <c r="E16" s="281">
        <v>128616698.97</v>
      </c>
      <c r="F16" s="270">
        <v>3620182.03</v>
      </c>
    </row>
    <row r="17" spans="1:7" ht="13.5" thickBot="1" x14ac:dyDescent="0.25">
      <c r="A17" s="1085">
        <v>313</v>
      </c>
      <c r="B17" s="1935" t="s">
        <v>593</v>
      </c>
      <c r="C17" s="1936"/>
      <c r="D17" s="1086">
        <f>SUM(D13:D16)</f>
        <v>1005013203</v>
      </c>
      <c r="E17" s="1087">
        <f>SUM(E13:E16)</f>
        <v>997693123.66000009</v>
      </c>
      <c r="F17" s="1088">
        <f>SUM(F13:F16)</f>
        <v>7320079.3399999999</v>
      </c>
    </row>
    <row r="18" spans="1:7" x14ac:dyDescent="0.2">
      <c r="A18" s="286"/>
      <c r="B18" s="287"/>
      <c r="C18" s="287"/>
      <c r="D18" s="288"/>
      <c r="E18" s="289"/>
      <c r="F18" s="289"/>
    </row>
    <row r="19" spans="1:7" x14ac:dyDescent="0.2">
      <c r="A19" s="1928" t="s">
        <v>712</v>
      </c>
      <c r="B19" s="1928"/>
      <c r="C19" s="1928"/>
      <c r="D19" s="1928"/>
      <c r="E19" s="1928"/>
      <c r="F19" s="1928"/>
    </row>
    <row r="20" spans="1:7" ht="13.5" thickBot="1" x14ac:dyDescent="0.25">
      <c r="A20" s="260"/>
      <c r="B20" s="260"/>
      <c r="C20" s="260"/>
      <c r="D20" s="261"/>
      <c r="E20" s="260"/>
      <c r="F20" s="260"/>
    </row>
    <row r="21" spans="1:7" ht="13.5" thickBot="1" x14ac:dyDescent="0.25">
      <c r="A21" s="262" t="s">
        <v>581</v>
      </c>
      <c r="B21" s="263" t="s">
        <v>582</v>
      </c>
      <c r="C21" s="264" t="s">
        <v>583</v>
      </c>
      <c r="D21" s="265" t="s">
        <v>584</v>
      </c>
      <c r="E21" s="263" t="s">
        <v>585</v>
      </c>
      <c r="F21" s="299" t="s">
        <v>586</v>
      </c>
    </row>
    <row r="22" spans="1:7" x14ac:dyDescent="0.2">
      <c r="A22" s="630">
        <v>1</v>
      </c>
      <c r="B22" s="631" t="s">
        <v>713</v>
      </c>
      <c r="C22" s="632" t="s">
        <v>714</v>
      </c>
      <c r="D22" s="280">
        <v>148400</v>
      </c>
      <c r="E22" s="281">
        <v>148400</v>
      </c>
      <c r="F22" s="270">
        <v>0</v>
      </c>
    </row>
    <row r="23" spans="1:7" ht="13.5" thickBot="1" x14ac:dyDescent="0.25">
      <c r="A23" s="267">
        <v>2</v>
      </c>
      <c r="B23" s="318">
        <v>14034</v>
      </c>
      <c r="C23" s="1101" t="s">
        <v>748</v>
      </c>
      <c r="D23" s="280">
        <v>1225000</v>
      </c>
      <c r="E23" s="281">
        <v>1112111</v>
      </c>
      <c r="F23" s="270">
        <v>112889</v>
      </c>
    </row>
    <row r="24" spans="1:7" ht="13.5" thickBot="1" x14ac:dyDescent="0.25">
      <c r="A24" s="262">
        <v>314</v>
      </c>
      <c r="B24" s="1926" t="s">
        <v>728</v>
      </c>
      <c r="C24" s="1927"/>
      <c r="D24" s="271">
        <f>SUM(D22:D23)</f>
        <v>1373400</v>
      </c>
      <c r="E24" s="272">
        <f>SUM(E22:E23)</f>
        <v>1260511</v>
      </c>
      <c r="F24" s="273">
        <f>SUM(F22:F23)</f>
        <v>112889</v>
      </c>
    </row>
    <row r="25" spans="1:7" x14ac:dyDescent="0.2">
      <c r="A25" s="284"/>
      <c r="B25" s="284"/>
      <c r="C25" s="284"/>
      <c r="D25" s="285"/>
      <c r="E25" s="284"/>
      <c r="F25" s="284"/>
    </row>
    <row r="26" spans="1:7" x14ac:dyDescent="0.2">
      <c r="A26" s="1934" t="s">
        <v>1642</v>
      </c>
      <c r="B26" s="1934"/>
      <c r="C26" s="1934"/>
      <c r="D26" s="1934"/>
      <c r="E26" s="1934"/>
      <c r="F26" s="1934"/>
      <c r="G26" s="458"/>
    </row>
    <row r="27" spans="1:7" ht="13.5" thickBot="1" x14ac:dyDescent="0.25">
      <c r="A27" s="1069"/>
      <c r="B27" s="1069"/>
      <c r="C27" s="1069"/>
      <c r="D27" s="1069"/>
      <c r="E27" s="1069"/>
      <c r="F27" s="1069"/>
    </row>
    <row r="28" spans="1:7" ht="13.5" thickBot="1" x14ac:dyDescent="0.25">
      <c r="A28" s="262" t="s">
        <v>581</v>
      </c>
      <c r="B28" s="263" t="s">
        <v>582</v>
      </c>
      <c r="C28" s="264" t="s">
        <v>583</v>
      </c>
      <c r="D28" s="265" t="s">
        <v>584</v>
      </c>
      <c r="E28" s="263" t="s">
        <v>585</v>
      </c>
      <c r="F28" s="299" t="s">
        <v>586</v>
      </c>
    </row>
    <row r="29" spans="1:7" x14ac:dyDescent="0.2">
      <c r="A29" s="1061">
        <v>1</v>
      </c>
      <c r="B29" s="1070" t="s">
        <v>1643</v>
      </c>
      <c r="C29" s="1071" t="s">
        <v>1644</v>
      </c>
      <c r="D29" s="1065">
        <v>107200</v>
      </c>
      <c r="E29" s="1065">
        <v>107200</v>
      </c>
      <c r="F29" s="1091">
        <v>0</v>
      </c>
    </row>
    <row r="30" spans="1:7" ht="13.5" thickBot="1" x14ac:dyDescent="0.25">
      <c r="A30" s="1067">
        <v>2</v>
      </c>
      <c r="B30" s="1072" t="s">
        <v>1645</v>
      </c>
      <c r="C30" s="1058" t="s">
        <v>1646</v>
      </c>
      <c r="D30" s="1059">
        <v>106920</v>
      </c>
      <c r="E30" s="1059">
        <v>106920</v>
      </c>
      <c r="F30" s="1092">
        <v>0</v>
      </c>
    </row>
    <row r="31" spans="1:7" s="1076" customFormat="1" thickBot="1" x14ac:dyDescent="0.25">
      <c r="A31" s="262">
        <v>317</v>
      </c>
      <c r="B31" s="1926" t="s">
        <v>1647</v>
      </c>
      <c r="C31" s="1927"/>
      <c r="D31" s="1074">
        <f>SUM(D29:D30)</f>
        <v>214120</v>
      </c>
      <c r="E31" s="1074">
        <f>SUM(E29:E30)</f>
        <v>214120</v>
      </c>
      <c r="F31" s="1093">
        <f>SUM(F29)</f>
        <v>0</v>
      </c>
      <c r="G31" s="1075"/>
    </row>
    <row r="32" spans="1:7" x14ac:dyDescent="0.2">
      <c r="A32" s="9"/>
      <c r="B32" s="9"/>
      <c r="C32" s="9"/>
      <c r="D32" s="10"/>
      <c r="E32" s="10"/>
      <c r="F32" s="10"/>
    </row>
    <row r="33" spans="1:6" x14ac:dyDescent="0.2">
      <c r="A33" s="1928" t="s">
        <v>594</v>
      </c>
      <c r="B33" s="1928"/>
      <c r="C33" s="1928"/>
      <c r="D33" s="1928"/>
      <c r="E33" s="1928"/>
      <c r="F33" s="1928"/>
    </row>
    <row r="34" spans="1:6" ht="13.5" thickBot="1" x14ac:dyDescent="0.25">
      <c r="A34" s="260"/>
      <c r="B34" s="260"/>
      <c r="C34" s="260"/>
      <c r="D34" s="261"/>
      <c r="E34" s="260"/>
      <c r="F34" s="260"/>
    </row>
    <row r="35" spans="1:6" ht="13.5" thickBot="1" x14ac:dyDescent="0.25">
      <c r="A35" s="262" t="s">
        <v>581</v>
      </c>
      <c r="B35" s="263" t="s">
        <v>582</v>
      </c>
      <c r="C35" s="264" t="s">
        <v>583</v>
      </c>
      <c r="D35" s="265" t="s">
        <v>584</v>
      </c>
      <c r="E35" s="263" t="s">
        <v>585</v>
      </c>
      <c r="F35" s="299" t="s">
        <v>586</v>
      </c>
    </row>
    <row r="36" spans="1:6" ht="13.5" customHeight="1" thickBot="1" x14ac:dyDescent="0.25">
      <c r="A36" s="1097">
        <v>1</v>
      </c>
      <c r="B36" s="1098">
        <v>27355</v>
      </c>
      <c r="C36" s="1099" t="s">
        <v>1664</v>
      </c>
      <c r="D36" s="1068">
        <v>131933197</v>
      </c>
      <c r="E36" s="1068">
        <f>D36-F36</f>
        <v>129496959.68000001</v>
      </c>
      <c r="F36" s="1094">
        <v>2436237.3199999998</v>
      </c>
    </row>
    <row r="37" spans="1:6" ht="13.5" thickBot="1" x14ac:dyDescent="0.25">
      <c r="A37" s="262">
        <v>327</v>
      </c>
      <c r="B37" s="1926" t="s">
        <v>595</v>
      </c>
      <c r="C37" s="1927"/>
      <c r="D37" s="271">
        <f>SUM(D36:D36)</f>
        <v>131933197</v>
      </c>
      <c r="E37" s="272">
        <f>SUM(E36:E36)</f>
        <v>129496959.68000001</v>
      </c>
      <c r="F37" s="273">
        <f>SUM(F36:F36)</f>
        <v>2436237.3199999998</v>
      </c>
    </row>
    <row r="38" spans="1:6" x14ac:dyDescent="0.2">
      <c r="A38" s="284"/>
      <c r="B38" s="284"/>
      <c r="C38" s="284"/>
      <c r="D38" s="285"/>
      <c r="E38" s="284"/>
      <c r="F38" s="284"/>
    </row>
    <row r="39" spans="1:6" x14ac:dyDescent="0.2">
      <c r="A39" s="1930" t="s">
        <v>596</v>
      </c>
      <c r="B39" s="1930"/>
      <c r="C39" s="1930"/>
      <c r="D39" s="1930"/>
      <c r="E39" s="1930"/>
      <c r="F39" s="1930"/>
    </row>
    <row r="40" spans="1:6" ht="13.5" customHeight="1" thickBot="1" x14ac:dyDescent="0.25">
      <c r="A40" s="291"/>
      <c r="B40" s="291"/>
      <c r="C40" s="291"/>
      <c r="D40" s="292"/>
      <c r="E40" s="291"/>
      <c r="F40" s="291"/>
    </row>
    <row r="41" spans="1:6" ht="13.5" thickBot="1" x14ac:dyDescent="0.25">
      <c r="A41" s="262" t="s">
        <v>581</v>
      </c>
      <c r="B41" s="263" t="s">
        <v>582</v>
      </c>
      <c r="C41" s="264" t="s">
        <v>583</v>
      </c>
      <c r="D41" s="265" t="s">
        <v>584</v>
      </c>
      <c r="E41" s="263" t="s">
        <v>585</v>
      </c>
      <c r="F41" s="266" t="s">
        <v>586</v>
      </c>
    </row>
    <row r="42" spans="1:6" x14ac:dyDescent="0.2">
      <c r="A42" s="278">
        <v>1</v>
      </c>
      <c r="B42" s="1062">
        <v>33082</v>
      </c>
      <c r="C42" s="1063" t="s">
        <v>1648</v>
      </c>
      <c r="D42" s="1064">
        <v>216000</v>
      </c>
      <c r="E42" s="1064">
        <f>D42-F42</f>
        <v>209250</v>
      </c>
      <c r="F42" s="1091">
        <v>6750</v>
      </c>
    </row>
    <row r="43" spans="1:6" x14ac:dyDescent="0.2">
      <c r="A43" s="278">
        <v>2</v>
      </c>
      <c r="B43" s="719">
        <v>33083</v>
      </c>
      <c r="C43" s="1077" t="s">
        <v>1649</v>
      </c>
      <c r="D43" s="1066">
        <v>2387400</v>
      </c>
      <c r="E43" s="1066">
        <f>D43-F43</f>
        <v>2384600</v>
      </c>
      <c r="F43" s="1084">
        <v>2800</v>
      </c>
    </row>
    <row r="44" spans="1:6" x14ac:dyDescent="0.2">
      <c r="A44" s="278">
        <v>3</v>
      </c>
      <c r="B44" s="719">
        <v>33084</v>
      </c>
      <c r="C44" s="1077" t="s">
        <v>1650</v>
      </c>
      <c r="D44" s="1066">
        <v>100000</v>
      </c>
      <c r="E44" s="1066">
        <f t="shared" ref="E44" si="0">D44</f>
        <v>100000</v>
      </c>
      <c r="F44" s="1084">
        <v>0</v>
      </c>
    </row>
    <row r="45" spans="1:6" x14ac:dyDescent="0.2">
      <c r="A45" s="278">
        <v>4</v>
      </c>
      <c r="B45" s="1057">
        <v>33155</v>
      </c>
      <c r="C45" s="321" t="s">
        <v>1735</v>
      </c>
      <c r="D45" s="1066">
        <v>284777210</v>
      </c>
      <c r="E45" s="1066">
        <f t="shared" ref="E45" si="1">D45-F45</f>
        <v>284766943</v>
      </c>
      <c r="F45" s="1084">
        <v>10267</v>
      </c>
    </row>
    <row r="46" spans="1:6" x14ac:dyDescent="0.2">
      <c r="A46" s="278">
        <v>5</v>
      </c>
      <c r="B46" s="786">
        <v>33166</v>
      </c>
      <c r="C46" s="1078" t="s">
        <v>597</v>
      </c>
      <c r="D46" s="1066">
        <v>376100</v>
      </c>
      <c r="E46" s="1066">
        <f>D46-F46</f>
        <v>115348</v>
      </c>
      <c r="F46" s="1084">
        <v>260752</v>
      </c>
    </row>
    <row r="47" spans="1:6" x14ac:dyDescent="0.2">
      <c r="A47" s="278">
        <v>6</v>
      </c>
      <c r="B47" s="786">
        <v>33353</v>
      </c>
      <c r="C47" s="1078" t="s">
        <v>598</v>
      </c>
      <c r="D47" s="1066">
        <v>7041131565</v>
      </c>
      <c r="E47" s="1066">
        <v>7011835791.29</v>
      </c>
      <c r="F47" s="1084">
        <f>22621440+6674333.71</f>
        <v>29295773.710000001</v>
      </c>
    </row>
    <row r="48" spans="1:6" ht="13.5" thickBot="1" x14ac:dyDescent="0.25">
      <c r="A48" s="278">
        <v>7</v>
      </c>
      <c r="B48" s="317">
        <v>33354</v>
      </c>
      <c r="C48" s="293" t="s">
        <v>1734</v>
      </c>
      <c r="D48" s="1079">
        <v>1836000</v>
      </c>
      <c r="E48" s="1079">
        <f>D48-F48</f>
        <v>1836000</v>
      </c>
      <c r="F48" s="1095">
        <v>0</v>
      </c>
    </row>
    <row r="49" spans="1:6" ht="13.5" thickBot="1" x14ac:dyDescent="0.25">
      <c r="A49" s="262">
        <v>333</v>
      </c>
      <c r="B49" s="1926" t="s">
        <v>599</v>
      </c>
      <c r="C49" s="1927"/>
      <c r="D49" s="271">
        <f>SUM(D42:D48)</f>
        <v>7330824275</v>
      </c>
      <c r="E49" s="271">
        <f>SUM(E42:E48)</f>
        <v>7301247932.29</v>
      </c>
      <c r="F49" s="295">
        <f>SUM(F42:F48)</f>
        <v>29576342.710000001</v>
      </c>
    </row>
    <row r="50" spans="1:6" x14ac:dyDescent="0.2">
      <c r="A50" s="1931" t="s">
        <v>600</v>
      </c>
      <c r="B50" s="1931"/>
      <c r="C50" s="1931"/>
      <c r="D50" s="1931"/>
      <c r="E50" s="1931"/>
      <c r="F50" s="1931"/>
    </row>
    <row r="51" spans="1:6" x14ac:dyDescent="0.2">
      <c r="A51" s="1932"/>
      <c r="B51" s="1932"/>
      <c r="C51" s="1932"/>
      <c r="D51" s="1932"/>
      <c r="E51" s="1932"/>
      <c r="F51" s="1932"/>
    </row>
    <row r="52" spans="1:6" x14ac:dyDescent="0.2">
      <c r="A52" s="290"/>
      <c r="B52" s="290"/>
      <c r="C52" s="290"/>
      <c r="D52" s="290"/>
      <c r="E52" s="290"/>
      <c r="F52" s="290"/>
    </row>
    <row r="53" spans="1:6" x14ac:dyDescent="0.2">
      <c r="A53" s="290"/>
      <c r="B53" s="290"/>
      <c r="C53" s="290"/>
      <c r="D53" s="290"/>
      <c r="E53" s="290"/>
      <c r="F53" s="290"/>
    </row>
    <row r="54" spans="1:6" ht="20.25" customHeight="1" x14ac:dyDescent="0.2">
      <c r="A54" s="290"/>
      <c r="B54" s="290"/>
      <c r="C54" s="290"/>
      <c r="D54" s="290"/>
      <c r="E54" s="290"/>
      <c r="F54" s="290"/>
    </row>
    <row r="55" spans="1:6" x14ac:dyDescent="0.2">
      <c r="A55" s="290"/>
      <c r="B55" s="290"/>
      <c r="C55" s="290"/>
      <c r="D55" s="290"/>
      <c r="E55" s="290"/>
      <c r="F55" s="290"/>
    </row>
    <row r="56" spans="1:6" x14ac:dyDescent="0.2">
      <c r="A56" s="290"/>
      <c r="B56" s="290"/>
      <c r="C56" s="290"/>
      <c r="D56" s="290"/>
      <c r="E56" s="290"/>
      <c r="F56" s="290"/>
    </row>
    <row r="57" spans="1:6" x14ac:dyDescent="0.2">
      <c r="A57" s="290"/>
      <c r="B57" s="290"/>
      <c r="C57" s="290"/>
      <c r="D57" s="290"/>
      <c r="E57" s="290"/>
      <c r="F57" s="290"/>
    </row>
    <row r="58" spans="1:6" x14ac:dyDescent="0.2">
      <c r="E58" s="1933" t="s">
        <v>799</v>
      </c>
      <c r="F58" s="1933"/>
    </row>
    <row r="59" spans="1:6" ht="31.5" customHeight="1" x14ac:dyDescent="0.2">
      <c r="A59" s="1913" t="s">
        <v>1714</v>
      </c>
      <c r="B59" s="1913"/>
      <c r="C59" s="1913"/>
      <c r="D59" s="1913"/>
      <c r="E59" s="1913"/>
      <c r="F59" s="1913"/>
    </row>
    <row r="60" spans="1:6" x14ac:dyDescent="0.2">
      <c r="A60" s="290"/>
      <c r="B60" s="290"/>
      <c r="C60" s="290"/>
      <c r="D60" s="290"/>
      <c r="E60" s="290"/>
      <c r="F60" s="290"/>
    </row>
    <row r="61" spans="1:6" x14ac:dyDescent="0.2">
      <c r="A61" s="1928" t="s">
        <v>601</v>
      </c>
      <c r="B61" s="1928"/>
      <c r="C61" s="1928"/>
      <c r="D61" s="1928"/>
      <c r="E61" s="1928"/>
      <c r="F61" s="1928"/>
    </row>
    <row r="62" spans="1:6" ht="13.5" customHeight="1" thickBot="1" x14ac:dyDescent="0.25">
      <c r="A62" s="260"/>
      <c r="B62" s="260"/>
      <c r="C62" s="260"/>
      <c r="D62" s="261"/>
      <c r="E62" s="260"/>
      <c r="F62" s="260"/>
    </row>
    <row r="63" spans="1:6" ht="13.5" thickBot="1" x14ac:dyDescent="0.25">
      <c r="A63" s="262" t="s">
        <v>581</v>
      </c>
      <c r="B63" s="263" t="s">
        <v>582</v>
      </c>
      <c r="C63" s="264" t="s">
        <v>583</v>
      </c>
      <c r="D63" s="265" t="s">
        <v>584</v>
      </c>
      <c r="E63" s="263" t="s">
        <v>585</v>
      </c>
      <c r="F63" s="299" t="s">
        <v>586</v>
      </c>
    </row>
    <row r="64" spans="1:6" x14ac:dyDescent="0.2">
      <c r="A64" s="296">
        <v>1</v>
      </c>
      <c r="B64" s="317">
        <v>34019</v>
      </c>
      <c r="C64" s="279" t="s">
        <v>749</v>
      </c>
      <c r="D64" s="280">
        <v>45000</v>
      </c>
      <c r="E64" s="281">
        <v>45000</v>
      </c>
      <c r="F64" s="270">
        <v>0</v>
      </c>
    </row>
    <row r="65" spans="1:6" x14ac:dyDescent="0.2">
      <c r="A65" s="278">
        <v>2</v>
      </c>
      <c r="B65" s="317">
        <v>34021</v>
      </c>
      <c r="C65" s="279" t="s">
        <v>750</v>
      </c>
      <c r="D65" s="280">
        <v>574000</v>
      </c>
      <c r="E65" s="281">
        <v>574000</v>
      </c>
      <c r="F65" s="270">
        <v>0</v>
      </c>
    </row>
    <row r="66" spans="1:6" x14ac:dyDescent="0.2">
      <c r="A66" s="296">
        <v>3</v>
      </c>
      <c r="B66" s="317">
        <v>34029</v>
      </c>
      <c r="C66" s="279" t="s">
        <v>1651</v>
      </c>
      <c r="D66" s="280">
        <v>189000</v>
      </c>
      <c r="E66" s="281">
        <v>189000</v>
      </c>
      <c r="F66" s="270">
        <v>0</v>
      </c>
    </row>
    <row r="67" spans="1:6" x14ac:dyDescent="0.2">
      <c r="A67" s="296">
        <v>4</v>
      </c>
      <c r="B67" s="317">
        <v>34031</v>
      </c>
      <c r="C67" s="279" t="s">
        <v>781</v>
      </c>
      <c r="D67" s="280">
        <v>236000</v>
      </c>
      <c r="E67" s="281">
        <v>236000</v>
      </c>
      <c r="F67" s="270">
        <v>0</v>
      </c>
    </row>
    <row r="68" spans="1:6" x14ac:dyDescent="0.2">
      <c r="A68" s="296">
        <v>5</v>
      </c>
      <c r="B68" s="317">
        <v>34053</v>
      </c>
      <c r="C68" s="279" t="s">
        <v>751</v>
      </c>
      <c r="D68" s="280">
        <v>479000</v>
      </c>
      <c r="E68" s="281">
        <v>479000</v>
      </c>
      <c r="F68" s="270">
        <v>0</v>
      </c>
    </row>
    <row r="69" spans="1:6" x14ac:dyDescent="0.2">
      <c r="A69" s="296">
        <v>6</v>
      </c>
      <c r="B69" s="317">
        <v>34070</v>
      </c>
      <c r="C69" s="279" t="s">
        <v>602</v>
      </c>
      <c r="D69" s="280">
        <v>2280158</v>
      </c>
      <c r="E69" s="281">
        <v>2280158</v>
      </c>
      <c r="F69" s="270">
        <v>0</v>
      </c>
    </row>
    <row r="70" spans="1:6" x14ac:dyDescent="0.2">
      <c r="A70" s="296">
        <v>7</v>
      </c>
      <c r="B70" s="317">
        <v>34502</v>
      </c>
      <c r="C70" s="279" t="s">
        <v>1652</v>
      </c>
      <c r="D70" s="280">
        <v>31000</v>
      </c>
      <c r="E70" s="281">
        <v>31000</v>
      </c>
      <c r="F70" s="270">
        <v>0</v>
      </c>
    </row>
    <row r="71" spans="1:6" x14ac:dyDescent="0.2">
      <c r="A71" s="316">
        <v>8</v>
      </c>
      <c r="B71" s="317">
        <v>34505</v>
      </c>
      <c r="C71" s="306" t="s">
        <v>1653</v>
      </c>
      <c r="D71" s="280">
        <v>45000</v>
      </c>
      <c r="E71" s="280">
        <v>45000</v>
      </c>
      <c r="F71" s="309">
        <v>0</v>
      </c>
    </row>
    <row r="72" spans="1:6" ht="13.5" thickBot="1" x14ac:dyDescent="0.25">
      <c r="A72" s="316">
        <v>9</v>
      </c>
      <c r="B72" s="317">
        <v>34544</v>
      </c>
      <c r="C72" s="306" t="s">
        <v>1654</v>
      </c>
      <c r="D72" s="280">
        <v>127000</v>
      </c>
      <c r="E72" s="280">
        <v>127000</v>
      </c>
      <c r="F72" s="309">
        <v>0</v>
      </c>
    </row>
    <row r="73" spans="1:6" ht="13.5" thickBot="1" x14ac:dyDescent="0.25">
      <c r="A73" s="262">
        <v>334</v>
      </c>
      <c r="B73" s="1926" t="s">
        <v>603</v>
      </c>
      <c r="C73" s="1927"/>
      <c r="D73" s="271">
        <f>SUM(D64:D72)</f>
        <v>4006158</v>
      </c>
      <c r="E73" s="283">
        <f>SUM(E64:E72)</f>
        <v>4006158</v>
      </c>
      <c r="F73" s="273">
        <f>SUM(F64:F72)</f>
        <v>0</v>
      </c>
    </row>
    <row r="74" spans="1:6" x14ac:dyDescent="0.2">
      <c r="A74" s="286"/>
      <c r="B74" s="287"/>
      <c r="C74" s="287"/>
      <c r="D74" s="288"/>
      <c r="E74" s="289"/>
      <c r="F74" s="289"/>
    </row>
    <row r="75" spans="1:6" x14ac:dyDescent="0.2">
      <c r="A75" s="1928" t="s">
        <v>604</v>
      </c>
      <c r="B75" s="1928"/>
      <c r="C75" s="1928"/>
      <c r="D75" s="1928"/>
      <c r="E75" s="1928"/>
      <c r="F75" s="1928"/>
    </row>
    <row r="76" spans="1:6" ht="13.5" customHeight="1" thickBot="1" x14ac:dyDescent="0.25">
      <c r="A76" s="260"/>
      <c r="B76" s="260"/>
      <c r="C76" s="260"/>
      <c r="D76" s="261"/>
      <c r="E76" s="260"/>
      <c r="F76" s="260"/>
    </row>
    <row r="77" spans="1:6" ht="13.5" thickBot="1" x14ac:dyDescent="0.25">
      <c r="A77" s="262" t="s">
        <v>581</v>
      </c>
      <c r="B77" s="263" t="s">
        <v>582</v>
      </c>
      <c r="C77" s="264" t="s">
        <v>583</v>
      </c>
      <c r="D77" s="265" t="s">
        <v>584</v>
      </c>
      <c r="E77" s="263" t="s">
        <v>585</v>
      </c>
      <c r="F77" s="299" t="s">
        <v>586</v>
      </c>
    </row>
    <row r="78" spans="1:6" s="1073" customFormat="1" x14ac:dyDescent="0.2">
      <c r="A78" s="296">
        <v>1</v>
      </c>
      <c r="B78" s="317">
        <v>35018</v>
      </c>
      <c r="C78" s="279" t="s">
        <v>1655</v>
      </c>
      <c r="D78" s="280">
        <v>3890424</v>
      </c>
      <c r="E78" s="281">
        <v>3890424</v>
      </c>
      <c r="F78" s="270">
        <v>0</v>
      </c>
    </row>
    <row r="79" spans="1:6" x14ac:dyDescent="0.2">
      <c r="A79" s="296">
        <v>2</v>
      </c>
      <c r="B79" s="317">
        <v>35024</v>
      </c>
      <c r="C79" s="279" t="s">
        <v>1656</v>
      </c>
      <c r="D79" s="280">
        <v>237967</v>
      </c>
      <c r="E79" s="281">
        <v>219978</v>
      </c>
      <c r="F79" s="270">
        <v>17989</v>
      </c>
    </row>
    <row r="80" spans="1:6" x14ac:dyDescent="0.2">
      <c r="A80" s="278">
        <v>3</v>
      </c>
      <c r="B80" s="689">
        <v>35025</v>
      </c>
      <c r="C80" s="279" t="s">
        <v>1657</v>
      </c>
      <c r="D80" s="280">
        <v>9979403</v>
      </c>
      <c r="E80" s="281">
        <v>9977527</v>
      </c>
      <c r="F80" s="270">
        <v>1876</v>
      </c>
    </row>
    <row r="81" spans="1:226" x14ac:dyDescent="0.2">
      <c r="A81" s="278">
        <v>4</v>
      </c>
      <c r="B81" s="689">
        <v>35026</v>
      </c>
      <c r="C81" s="279" t="s">
        <v>1658</v>
      </c>
      <c r="D81" s="280">
        <v>296000</v>
      </c>
      <c r="E81" s="281">
        <v>104000</v>
      </c>
      <c r="F81" s="270">
        <v>192000</v>
      </c>
    </row>
    <row r="82" spans="1:226" ht="13.5" thickBot="1" x14ac:dyDescent="0.25">
      <c r="A82" s="1080">
        <v>5</v>
      </c>
      <c r="B82" s="1081">
        <v>35500</v>
      </c>
      <c r="C82" s="1096" t="s">
        <v>1659</v>
      </c>
      <c r="D82" s="1082">
        <v>290400</v>
      </c>
      <c r="E82" s="1082">
        <v>290400</v>
      </c>
      <c r="F82" s="1083">
        <v>0</v>
      </c>
    </row>
    <row r="83" spans="1:226" ht="13.5" thickBot="1" x14ac:dyDescent="0.25">
      <c r="A83" s="262">
        <v>335</v>
      </c>
      <c r="B83" s="1926" t="s">
        <v>669</v>
      </c>
      <c r="C83" s="1927"/>
      <c r="D83" s="271">
        <f>SUM(D78:D82)</f>
        <v>14694194</v>
      </c>
      <c r="E83" s="271">
        <f t="shared" ref="E83:F83" si="2">SUM(E78:E82)</f>
        <v>14482329</v>
      </c>
      <c r="F83" s="295">
        <f t="shared" si="2"/>
        <v>211865</v>
      </c>
    </row>
    <row r="85" spans="1:226" x14ac:dyDescent="0.2">
      <c r="A85" s="1928" t="s">
        <v>605</v>
      </c>
      <c r="B85" s="1928"/>
      <c r="C85" s="1928"/>
      <c r="D85" s="1928"/>
      <c r="E85" s="1928"/>
      <c r="F85" s="1928"/>
    </row>
    <row r="86" spans="1:226" ht="13.5" thickBot="1" x14ac:dyDescent="0.25">
      <c r="A86" s="260"/>
      <c r="B86" s="260"/>
      <c r="C86" s="260"/>
      <c r="D86" s="261"/>
      <c r="E86" s="260"/>
      <c r="F86" s="260"/>
    </row>
    <row r="87" spans="1:226" ht="13.5" thickBot="1" x14ac:dyDescent="0.25">
      <c r="A87" s="262" t="s">
        <v>581</v>
      </c>
      <c r="B87" s="263" t="s">
        <v>582</v>
      </c>
      <c r="C87" s="264" t="s">
        <v>583</v>
      </c>
      <c r="D87" s="265" t="s">
        <v>584</v>
      </c>
      <c r="E87" s="263" t="s">
        <v>585</v>
      </c>
      <c r="F87" s="299" t="s">
        <v>586</v>
      </c>
    </row>
    <row r="88" spans="1:226" x14ac:dyDescent="0.2">
      <c r="A88" s="296">
        <v>1</v>
      </c>
      <c r="B88" s="317">
        <v>98032</v>
      </c>
      <c r="C88" s="279" t="s">
        <v>782</v>
      </c>
      <c r="D88" s="280">
        <v>12135345</v>
      </c>
      <c r="E88" s="281">
        <v>12135345</v>
      </c>
      <c r="F88" s="270">
        <v>0</v>
      </c>
    </row>
    <row r="89" spans="1:226" x14ac:dyDescent="0.2">
      <c r="A89" s="296">
        <v>2</v>
      </c>
      <c r="B89" s="317">
        <v>98071</v>
      </c>
      <c r="C89" s="279" t="s">
        <v>1660</v>
      </c>
      <c r="D89" s="280">
        <v>1000000</v>
      </c>
      <c r="E89" s="281">
        <v>233693.90000000002</v>
      </c>
      <c r="F89" s="270">
        <v>766306.1</v>
      </c>
    </row>
    <row r="90" spans="1:226" x14ac:dyDescent="0.2">
      <c r="A90" s="296">
        <v>3</v>
      </c>
      <c r="B90" s="317">
        <v>98074</v>
      </c>
      <c r="C90" s="279" t="s">
        <v>1661</v>
      </c>
      <c r="D90" s="280">
        <v>15000</v>
      </c>
      <c r="E90" s="281">
        <v>15000</v>
      </c>
      <c r="F90" s="270">
        <v>0</v>
      </c>
    </row>
    <row r="91" spans="1:226" x14ac:dyDescent="0.2">
      <c r="A91" s="278">
        <v>4</v>
      </c>
      <c r="B91" s="317">
        <v>98074</v>
      </c>
      <c r="C91" s="279" t="s">
        <v>1662</v>
      </c>
      <c r="D91" s="280">
        <v>15000</v>
      </c>
      <c r="E91" s="281">
        <v>625.48</v>
      </c>
      <c r="F91" s="270">
        <v>14374.52</v>
      </c>
    </row>
    <row r="92" spans="1:226" ht="13.5" thickBot="1" x14ac:dyDescent="0.25">
      <c r="A92" s="282">
        <v>5</v>
      </c>
      <c r="B92" s="633">
        <v>98278</v>
      </c>
      <c r="C92" s="293" t="s">
        <v>752</v>
      </c>
      <c r="D92" s="634">
        <v>1573191.97</v>
      </c>
      <c r="E92" s="635">
        <v>1573191.97</v>
      </c>
      <c r="F92" s="270">
        <v>0</v>
      </c>
    </row>
    <row r="93" spans="1:226" ht="13.5" thickBot="1" x14ac:dyDescent="0.25">
      <c r="A93" s="262">
        <v>398</v>
      </c>
      <c r="B93" s="1926" t="s">
        <v>606</v>
      </c>
      <c r="C93" s="1927"/>
      <c r="D93" s="271">
        <f>SUM(D88:D92)</f>
        <v>14738536.970000001</v>
      </c>
      <c r="E93" s="271">
        <f>SUM(E88:E92)</f>
        <v>13957856.350000001</v>
      </c>
      <c r="F93" s="295">
        <f>SUM(F88:F92)</f>
        <v>780680.62</v>
      </c>
    </row>
    <row r="94" spans="1:226" x14ac:dyDescent="0.2">
      <c r="A94" s="286"/>
      <c r="B94" s="287"/>
      <c r="C94" s="287"/>
      <c r="D94" s="288"/>
      <c r="E94" s="289"/>
      <c r="F94" s="289"/>
    </row>
    <row r="95" spans="1:226" x14ac:dyDescent="0.2">
      <c r="A95" s="1929" t="s">
        <v>715</v>
      </c>
      <c r="B95" s="1929"/>
      <c r="C95" s="1929"/>
      <c r="D95" s="1929"/>
      <c r="E95" s="1929"/>
      <c r="F95" s="1929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7"/>
      <c r="AP95" s="257"/>
      <c r="AQ95" s="257"/>
      <c r="AR95" s="257"/>
      <c r="AS95" s="257"/>
      <c r="AT95" s="257"/>
      <c r="AU95" s="257"/>
      <c r="AV95" s="257"/>
      <c r="AW95" s="257"/>
      <c r="AX95" s="257"/>
      <c r="AY95" s="257"/>
      <c r="AZ95" s="257"/>
      <c r="BA95" s="257"/>
      <c r="BB95" s="257"/>
      <c r="BC95" s="257"/>
      <c r="BD95" s="257"/>
      <c r="BE95" s="257"/>
      <c r="BF95" s="257"/>
      <c r="BG95" s="257"/>
      <c r="BH95" s="257"/>
      <c r="BI95" s="257"/>
      <c r="BJ95" s="257"/>
      <c r="BK95" s="257"/>
      <c r="BL95" s="257"/>
      <c r="BM95" s="257"/>
      <c r="BN95" s="257"/>
      <c r="BO95" s="257"/>
      <c r="BP95" s="257"/>
      <c r="BQ95" s="257"/>
      <c r="BR95" s="257"/>
      <c r="BS95" s="257"/>
      <c r="BT95" s="257"/>
      <c r="BU95" s="257"/>
      <c r="BV95" s="257"/>
      <c r="BW95" s="257"/>
      <c r="BX95" s="257"/>
      <c r="BY95" s="257"/>
      <c r="BZ95" s="257"/>
      <c r="CA95" s="257"/>
      <c r="CB95" s="257"/>
      <c r="CC95" s="257"/>
      <c r="CD95" s="257"/>
      <c r="CE95" s="257"/>
      <c r="CF95" s="257"/>
      <c r="CG95" s="257"/>
      <c r="CH95" s="257"/>
      <c r="CI95" s="257"/>
      <c r="CJ95" s="257"/>
      <c r="CK95" s="257"/>
      <c r="CL95" s="257"/>
      <c r="CM95" s="257"/>
      <c r="CN95" s="257"/>
      <c r="CO95" s="257"/>
      <c r="CP95" s="257"/>
      <c r="CQ95" s="257"/>
      <c r="CR95" s="257"/>
      <c r="CS95" s="257"/>
      <c r="CT95" s="257"/>
      <c r="CU95" s="257"/>
      <c r="CV95" s="257"/>
      <c r="CW95" s="257"/>
      <c r="CX95" s="257"/>
      <c r="CY95" s="257"/>
      <c r="CZ95" s="257"/>
      <c r="DA95" s="257"/>
      <c r="DB95" s="257"/>
      <c r="DC95" s="257"/>
      <c r="DD95" s="257"/>
      <c r="DE95" s="257"/>
      <c r="DF95" s="257"/>
      <c r="DG95" s="257"/>
      <c r="DH95" s="257"/>
      <c r="DI95" s="257"/>
      <c r="DJ95" s="257"/>
      <c r="DK95" s="257"/>
      <c r="DL95" s="257"/>
      <c r="DM95" s="257"/>
      <c r="DN95" s="257"/>
      <c r="DO95" s="257"/>
      <c r="DP95" s="257"/>
      <c r="DQ95" s="257"/>
      <c r="DR95" s="257"/>
      <c r="DS95" s="257"/>
      <c r="DT95" s="257"/>
      <c r="DU95" s="257"/>
      <c r="DV95" s="257"/>
      <c r="DW95" s="257"/>
      <c r="DX95" s="257"/>
      <c r="DY95" s="257"/>
      <c r="DZ95" s="257"/>
      <c r="EA95" s="257"/>
      <c r="EB95" s="257"/>
      <c r="EC95" s="257"/>
      <c r="ED95" s="257"/>
      <c r="EE95" s="257"/>
      <c r="EF95" s="257"/>
      <c r="EG95" s="257"/>
      <c r="EH95" s="257"/>
      <c r="EI95" s="257"/>
      <c r="EJ95" s="257"/>
      <c r="EK95" s="257"/>
      <c r="EL95" s="257"/>
      <c r="EM95" s="257"/>
      <c r="EN95" s="257"/>
      <c r="EO95" s="257"/>
      <c r="EP95" s="257"/>
      <c r="EQ95" s="257"/>
      <c r="ER95" s="257"/>
      <c r="ES95" s="257"/>
      <c r="ET95" s="257"/>
      <c r="EU95" s="257"/>
      <c r="EV95" s="257"/>
      <c r="EW95" s="257"/>
      <c r="EX95" s="257"/>
      <c r="EY95" s="257"/>
      <c r="EZ95" s="257"/>
      <c r="FA95" s="257"/>
      <c r="FB95" s="257"/>
      <c r="FC95" s="257"/>
      <c r="FD95" s="257"/>
      <c r="FE95" s="257"/>
      <c r="FF95" s="257"/>
      <c r="FG95" s="257"/>
      <c r="FH95" s="257"/>
      <c r="FI95" s="257"/>
      <c r="FJ95" s="257"/>
      <c r="FK95" s="257"/>
      <c r="FL95" s="257"/>
      <c r="FM95" s="257"/>
      <c r="FN95" s="257"/>
      <c r="FO95" s="257"/>
      <c r="FP95" s="257"/>
      <c r="FQ95" s="257"/>
      <c r="FR95" s="257"/>
      <c r="FS95" s="257"/>
      <c r="FT95" s="257"/>
      <c r="FU95" s="257"/>
      <c r="FV95" s="257"/>
      <c r="FW95" s="257"/>
      <c r="FX95" s="257"/>
      <c r="FY95" s="257"/>
      <c r="FZ95" s="257"/>
      <c r="GA95" s="257"/>
      <c r="GB95" s="257"/>
      <c r="GC95" s="257"/>
      <c r="GD95" s="257"/>
      <c r="GE95" s="257"/>
      <c r="GF95" s="257"/>
      <c r="GG95" s="257"/>
      <c r="GH95" s="257"/>
      <c r="GI95" s="257"/>
      <c r="GJ95" s="257"/>
      <c r="GK95" s="257"/>
      <c r="GL95" s="257"/>
      <c r="GM95" s="257"/>
      <c r="GN95" s="257"/>
      <c r="GO95" s="257"/>
      <c r="GP95" s="257"/>
      <c r="GQ95" s="257"/>
      <c r="GR95" s="257"/>
      <c r="GS95" s="257"/>
      <c r="GT95" s="257"/>
      <c r="GU95" s="257"/>
      <c r="GV95" s="257"/>
      <c r="GW95" s="257"/>
      <c r="GX95" s="257"/>
      <c r="GY95" s="257"/>
      <c r="GZ95" s="257"/>
      <c r="HA95" s="257"/>
      <c r="HB95" s="257"/>
      <c r="HC95" s="257"/>
      <c r="HD95" s="257"/>
      <c r="HE95" s="257"/>
      <c r="HF95" s="257"/>
      <c r="HG95" s="257"/>
      <c r="HH95" s="257"/>
      <c r="HI95" s="257"/>
      <c r="HJ95" s="257"/>
      <c r="HK95" s="257"/>
      <c r="HL95" s="257"/>
      <c r="HM95" s="257"/>
      <c r="HN95" s="257"/>
      <c r="HO95" s="257"/>
      <c r="HP95" s="257"/>
      <c r="HQ95" s="257"/>
      <c r="HR95" s="257"/>
    </row>
    <row r="96" spans="1:226" ht="16.5" thickBot="1" x14ac:dyDescent="0.3">
      <c r="A96" s="259"/>
      <c r="B96" s="259"/>
      <c r="C96" s="259"/>
      <c r="D96" s="259"/>
      <c r="E96" s="259"/>
      <c r="F96" s="259"/>
      <c r="G96" s="257"/>
      <c r="H96" s="257"/>
      <c r="I96" s="257"/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7"/>
      <c r="AN96" s="257"/>
      <c r="AO96" s="257"/>
      <c r="AP96" s="257"/>
      <c r="AQ96" s="257"/>
      <c r="AR96" s="257"/>
      <c r="AS96" s="257"/>
      <c r="AT96" s="257"/>
      <c r="AU96" s="257"/>
      <c r="AV96" s="257"/>
      <c r="AW96" s="257"/>
      <c r="AX96" s="257"/>
      <c r="AY96" s="257"/>
      <c r="AZ96" s="257"/>
      <c r="BA96" s="257"/>
      <c r="BB96" s="257"/>
      <c r="BC96" s="257"/>
      <c r="BD96" s="257"/>
      <c r="BE96" s="257"/>
      <c r="BF96" s="257"/>
      <c r="BG96" s="257"/>
      <c r="BH96" s="257"/>
      <c r="BI96" s="257"/>
      <c r="BJ96" s="257"/>
      <c r="BK96" s="257"/>
      <c r="BL96" s="257"/>
      <c r="BM96" s="257"/>
      <c r="BN96" s="257"/>
      <c r="BO96" s="257"/>
      <c r="BP96" s="257"/>
      <c r="BQ96" s="257"/>
      <c r="BR96" s="257"/>
      <c r="BS96" s="257"/>
      <c r="BT96" s="257"/>
      <c r="BU96" s="257"/>
      <c r="BV96" s="257"/>
      <c r="BW96" s="257"/>
      <c r="BX96" s="257"/>
      <c r="BY96" s="257"/>
      <c r="BZ96" s="257"/>
      <c r="CA96" s="257"/>
      <c r="CB96" s="257"/>
      <c r="CC96" s="257"/>
      <c r="CD96" s="257"/>
      <c r="CE96" s="257"/>
      <c r="CF96" s="257"/>
      <c r="CG96" s="257"/>
      <c r="CH96" s="257"/>
      <c r="CI96" s="257"/>
      <c r="CJ96" s="257"/>
      <c r="CK96" s="257"/>
      <c r="CL96" s="257"/>
      <c r="CM96" s="257"/>
      <c r="CN96" s="257"/>
      <c r="CO96" s="257"/>
      <c r="CP96" s="257"/>
      <c r="CQ96" s="257"/>
      <c r="CR96" s="257"/>
      <c r="CS96" s="257"/>
      <c r="CT96" s="257"/>
      <c r="CU96" s="257"/>
      <c r="CV96" s="257"/>
      <c r="CW96" s="257"/>
      <c r="CX96" s="257"/>
      <c r="CY96" s="257"/>
      <c r="CZ96" s="257"/>
      <c r="DA96" s="257"/>
      <c r="DB96" s="257"/>
      <c r="DC96" s="257"/>
      <c r="DD96" s="257"/>
      <c r="DE96" s="257"/>
      <c r="DF96" s="257"/>
      <c r="DG96" s="257"/>
      <c r="DH96" s="257"/>
      <c r="DI96" s="257"/>
      <c r="DJ96" s="257"/>
      <c r="DK96" s="257"/>
      <c r="DL96" s="257"/>
      <c r="DM96" s="257"/>
      <c r="DN96" s="257"/>
      <c r="DO96" s="257"/>
      <c r="DP96" s="257"/>
      <c r="DQ96" s="257"/>
      <c r="DR96" s="257"/>
      <c r="DS96" s="257"/>
      <c r="DT96" s="257"/>
      <c r="DU96" s="257"/>
      <c r="DV96" s="257"/>
      <c r="DW96" s="257"/>
      <c r="DX96" s="257"/>
      <c r="DY96" s="257"/>
      <c r="DZ96" s="257"/>
      <c r="EA96" s="257"/>
      <c r="EB96" s="257"/>
      <c r="EC96" s="257"/>
      <c r="ED96" s="257"/>
      <c r="EE96" s="257"/>
      <c r="EF96" s="257"/>
      <c r="EG96" s="257"/>
      <c r="EH96" s="257"/>
      <c r="EI96" s="257"/>
      <c r="EJ96" s="257"/>
      <c r="EK96" s="257"/>
      <c r="EL96" s="257"/>
      <c r="EM96" s="257"/>
      <c r="EN96" s="257"/>
      <c r="EO96" s="257"/>
      <c r="EP96" s="257"/>
      <c r="EQ96" s="257"/>
      <c r="ER96" s="257"/>
      <c r="ES96" s="257"/>
      <c r="ET96" s="257"/>
      <c r="EU96" s="257"/>
      <c r="EV96" s="257"/>
      <c r="EW96" s="257"/>
      <c r="EX96" s="257"/>
      <c r="EY96" s="257"/>
      <c r="EZ96" s="257"/>
      <c r="FA96" s="257"/>
      <c r="FB96" s="257"/>
      <c r="FC96" s="257"/>
      <c r="FD96" s="257"/>
      <c r="FE96" s="257"/>
      <c r="FF96" s="257"/>
      <c r="FG96" s="257"/>
      <c r="FH96" s="257"/>
      <c r="FI96" s="257"/>
      <c r="FJ96" s="257"/>
      <c r="FK96" s="257"/>
      <c r="FL96" s="257"/>
      <c r="FM96" s="257"/>
      <c r="FN96" s="257"/>
      <c r="FO96" s="257"/>
      <c r="FP96" s="257"/>
      <c r="FQ96" s="257"/>
      <c r="FR96" s="257"/>
      <c r="FS96" s="257"/>
      <c r="FT96" s="257"/>
      <c r="FU96" s="257"/>
      <c r="FV96" s="257"/>
      <c r="FW96" s="257"/>
      <c r="FX96" s="257"/>
      <c r="FY96" s="257"/>
      <c r="FZ96" s="257"/>
      <c r="GA96" s="257"/>
      <c r="GB96" s="257"/>
      <c r="GC96" s="257"/>
      <c r="GD96" s="257"/>
      <c r="GE96" s="257"/>
      <c r="GF96" s="257"/>
      <c r="GG96" s="257"/>
      <c r="GH96" s="257"/>
      <c r="GI96" s="257"/>
      <c r="GJ96" s="257"/>
      <c r="GK96" s="257"/>
      <c r="GL96" s="257"/>
      <c r="GM96" s="257"/>
      <c r="GN96" s="257"/>
      <c r="GO96" s="257"/>
      <c r="GP96" s="257"/>
      <c r="GQ96" s="257"/>
      <c r="GR96" s="257"/>
      <c r="GS96" s="257"/>
      <c r="GT96" s="257"/>
      <c r="GU96" s="257"/>
      <c r="GV96" s="257"/>
      <c r="GW96" s="257"/>
      <c r="GX96" s="257"/>
      <c r="GY96" s="257"/>
      <c r="GZ96" s="257"/>
      <c r="HA96" s="257"/>
      <c r="HB96" s="257"/>
      <c r="HC96" s="257"/>
      <c r="HD96" s="257"/>
      <c r="HE96" s="257"/>
      <c r="HF96" s="257"/>
      <c r="HG96" s="257"/>
      <c r="HH96" s="257"/>
      <c r="HI96" s="257"/>
      <c r="HJ96" s="257"/>
      <c r="HK96" s="257"/>
      <c r="HL96" s="257"/>
      <c r="HM96" s="257"/>
      <c r="HN96" s="257"/>
      <c r="HO96" s="257"/>
      <c r="HP96" s="257"/>
      <c r="HQ96" s="257"/>
      <c r="HR96" s="257"/>
    </row>
    <row r="97" spans="1:226" ht="13.5" thickBot="1" x14ac:dyDescent="0.25">
      <c r="A97" s="297" t="s">
        <v>608</v>
      </c>
      <c r="B97" s="265" t="s">
        <v>609</v>
      </c>
      <c r="C97" s="298" t="s">
        <v>610</v>
      </c>
      <c r="D97" s="265" t="s">
        <v>584</v>
      </c>
      <c r="E97" s="265" t="s">
        <v>585</v>
      </c>
      <c r="F97" s="299" t="s">
        <v>586</v>
      </c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257"/>
      <c r="AH97" s="257"/>
      <c r="AI97" s="257"/>
      <c r="AJ97" s="257"/>
      <c r="AK97" s="257"/>
      <c r="AL97" s="257"/>
      <c r="AM97" s="257"/>
      <c r="AN97" s="257"/>
      <c r="AO97" s="257"/>
      <c r="AP97" s="257"/>
      <c r="AQ97" s="257"/>
      <c r="AR97" s="257"/>
      <c r="AS97" s="257"/>
      <c r="AT97" s="257"/>
      <c r="AU97" s="257"/>
      <c r="AV97" s="257"/>
      <c r="AW97" s="257"/>
      <c r="AX97" s="257"/>
      <c r="AY97" s="257"/>
      <c r="AZ97" s="257"/>
      <c r="BA97" s="257"/>
      <c r="BB97" s="257"/>
      <c r="BC97" s="257"/>
      <c r="BD97" s="257"/>
      <c r="BE97" s="257"/>
      <c r="BF97" s="257"/>
      <c r="BG97" s="257"/>
      <c r="BH97" s="257"/>
      <c r="BI97" s="257"/>
      <c r="BJ97" s="257"/>
      <c r="BK97" s="257"/>
      <c r="BL97" s="257"/>
      <c r="BM97" s="257"/>
      <c r="BN97" s="257"/>
      <c r="BO97" s="257"/>
      <c r="BP97" s="257"/>
      <c r="BQ97" s="257"/>
      <c r="BR97" s="257"/>
      <c r="BS97" s="257"/>
      <c r="BT97" s="257"/>
      <c r="BU97" s="257"/>
      <c r="BV97" s="257"/>
      <c r="BW97" s="257"/>
      <c r="BX97" s="257"/>
      <c r="BY97" s="257"/>
      <c r="BZ97" s="257"/>
      <c r="CA97" s="257"/>
      <c r="CB97" s="257"/>
      <c r="CC97" s="257"/>
      <c r="CD97" s="257"/>
      <c r="CE97" s="257"/>
      <c r="CF97" s="257"/>
      <c r="CG97" s="257"/>
      <c r="CH97" s="257"/>
      <c r="CI97" s="257"/>
      <c r="CJ97" s="257"/>
      <c r="CK97" s="257"/>
      <c r="CL97" s="257"/>
      <c r="CM97" s="257"/>
      <c r="CN97" s="257"/>
      <c r="CO97" s="257"/>
      <c r="CP97" s="257"/>
      <c r="CQ97" s="257"/>
      <c r="CR97" s="257"/>
      <c r="CS97" s="257"/>
      <c r="CT97" s="257"/>
      <c r="CU97" s="257"/>
      <c r="CV97" s="257"/>
      <c r="CW97" s="257"/>
      <c r="CX97" s="257"/>
      <c r="CY97" s="257"/>
      <c r="CZ97" s="257"/>
      <c r="DA97" s="257"/>
      <c r="DB97" s="257"/>
      <c r="DC97" s="257"/>
      <c r="DD97" s="257"/>
      <c r="DE97" s="257"/>
      <c r="DF97" s="257"/>
      <c r="DG97" s="257"/>
      <c r="DH97" s="257"/>
      <c r="DI97" s="257"/>
      <c r="DJ97" s="257"/>
      <c r="DK97" s="257"/>
      <c r="DL97" s="257"/>
      <c r="DM97" s="257"/>
      <c r="DN97" s="257"/>
      <c r="DO97" s="257"/>
      <c r="DP97" s="257"/>
      <c r="DQ97" s="257"/>
      <c r="DR97" s="257"/>
      <c r="DS97" s="257"/>
      <c r="DT97" s="257"/>
      <c r="DU97" s="257"/>
      <c r="DV97" s="257"/>
      <c r="DW97" s="257"/>
      <c r="DX97" s="257"/>
      <c r="DY97" s="257"/>
      <c r="DZ97" s="257"/>
      <c r="EA97" s="257"/>
      <c r="EB97" s="257"/>
      <c r="EC97" s="257"/>
      <c r="ED97" s="257"/>
      <c r="EE97" s="257"/>
      <c r="EF97" s="257"/>
      <c r="EG97" s="257"/>
      <c r="EH97" s="257"/>
      <c r="EI97" s="257"/>
      <c r="EJ97" s="257"/>
      <c r="EK97" s="257"/>
      <c r="EL97" s="257"/>
      <c r="EM97" s="257"/>
      <c r="EN97" s="257"/>
      <c r="EO97" s="257"/>
      <c r="EP97" s="257"/>
      <c r="EQ97" s="257"/>
      <c r="ER97" s="257"/>
      <c r="ES97" s="257"/>
      <c r="ET97" s="257"/>
      <c r="EU97" s="257"/>
      <c r="EV97" s="257"/>
      <c r="EW97" s="257"/>
      <c r="EX97" s="257"/>
      <c r="EY97" s="257"/>
      <c r="EZ97" s="257"/>
      <c r="FA97" s="257"/>
      <c r="FB97" s="257"/>
      <c r="FC97" s="257"/>
      <c r="FD97" s="257"/>
      <c r="FE97" s="257"/>
      <c r="FF97" s="257"/>
      <c r="FG97" s="257"/>
      <c r="FH97" s="257"/>
      <c r="FI97" s="257"/>
      <c r="FJ97" s="257"/>
      <c r="FK97" s="257"/>
      <c r="FL97" s="257"/>
      <c r="FM97" s="257"/>
      <c r="FN97" s="257"/>
      <c r="FO97" s="257"/>
      <c r="FP97" s="257"/>
      <c r="FQ97" s="257"/>
      <c r="FR97" s="257"/>
      <c r="FS97" s="257"/>
      <c r="FT97" s="257"/>
      <c r="FU97" s="257"/>
      <c r="FV97" s="257"/>
      <c r="FW97" s="257"/>
      <c r="FX97" s="257"/>
      <c r="FY97" s="257"/>
      <c r="FZ97" s="257"/>
      <c r="GA97" s="257"/>
      <c r="GB97" s="257"/>
      <c r="GC97" s="257"/>
      <c r="GD97" s="257"/>
      <c r="GE97" s="257"/>
      <c r="GF97" s="257"/>
      <c r="GG97" s="257"/>
      <c r="GH97" s="257"/>
      <c r="GI97" s="257"/>
      <c r="GJ97" s="257"/>
      <c r="GK97" s="257"/>
      <c r="GL97" s="257"/>
      <c r="GM97" s="257"/>
      <c r="GN97" s="257"/>
      <c r="GO97" s="257"/>
      <c r="GP97" s="257"/>
      <c r="GQ97" s="257"/>
      <c r="GR97" s="257"/>
      <c r="GS97" s="257"/>
      <c r="GT97" s="257"/>
      <c r="GU97" s="257"/>
      <c r="GV97" s="257"/>
      <c r="GW97" s="257"/>
      <c r="GX97" s="257"/>
      <c r="GY97" s="257"/>
      <c r="GZ97" s="257"/>
      <c r="HA97" s="257"/>
      <c r="HB97" s="257"/>
      <c r="HC97" s="257"/>
      <c r="HD97" s="257"/>
      <c r="HE97" s="257"/>
      <c r="HF97" s="257"/>
      <c r="HG97" s="257"/>
      <c r="HH97" s="257"/>
      <c r="HI97" s="257"/>
      <c r="HJ97" s="257"/>
      <c r="HK97" s="257"/>
      <c r="HL97" s="257"/>
      <c r="HM97" s="257"/>
      <c r="HN97" s="257"/>
      <c r="HO97" s="257"/>
      <c r="HP97" s="257"/>
      <c r="HQ97" s="257"/>
      <c r="HR97" s="257"/>
    </row>
    <row r="98" spans="1:226" x14ac:dyDescent="0.2">
      <c r="A98" s="300">
        <v>304</v>
      </c>
      <c r="B98" s="301" t="s">
        <v>611</v>
      </c>
      <c r="C98" s="302" t="s">
        <v>612</v>
      </c>
      <c r="D98" s="269">
        <f>D8</f>
        <v>450000</v>
      </c>
      <c r="E98" s="269">
        <f>E8</f>
        <v>450000</v>
      </c>
      <c r="F98" s="303">
        <f>F8</f>
        <v>0</v>
      </c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7"/>
      <c r="AP98" s="257"/>
      <c r="AQ98" s="257"/>
      <c r="AR98" s="257"/>
      <c r="AS98" s="257"/>
      <c r="AT98" s="257"/>
      <c r="AU98" s="257"/>
      <c r="AV98" s="257"/>
      <c r="AW98" s="257"/>
      <c r="AX98" s="257"/>
      <c r="AY98" s="257"/>
      <c r="AZ98" s="257"/>
      <c r="BA98" s="257"/>
      <c r="BB98" s="257"/>
      <c r="BC98" s="257"/>
      <c r="BD98" s="257"/>
      <c r="BE98" s="257"/>
      <c r="BF98" s="257"/>
      <c r="BG98" s="257"/>
      <c r="BH98" s="257"/>
      <c r="BI98" s="257"/>
      <c r="BJ98" s="257"/>
      <c r="BK98" s="257"/>
      <c r="BL98" s="257"/>
      <c r="BM98" s="257"/>
      <c r="BN98" s="257"/>
      <c r="BO98" s="257"/>
      <c r="BP98" s="257"/>
      <c r="BQ98" s="257"/>
      <c r="BR98" s="257"/>
      <c r="BS98" s="257"/>
      <c r="BT98" s="257"/>
      <c r="BU98" s="257"/>
      <c r="BV98" s="257"/>
      <c r="BW98" s="257"/>
      <c r="BX98" s="257"/>
      <c r="BY98" s="257"/>
      <c r="BZ98" s="257"/>
      <c r="CA98" s="257"/>
      <c r="CB98" s="257"/>
      <c r="CC98" s="257"/>
      <c r="CD98" s="257"/>
      <c r="CE98" s="257"/>
      <c r="CF98" s="257"/>
      <c r="CG98" s="257"/>
      <c r="CH98" s="257"/>
      <c r="CI98" s="257"/>
      <c r="CJ98" s="257"/>
      <c r="CK98" s="257"/>
      <c r="CL98" s="257"/>
      <c r="CM98" s="257"/>
      <c r="CN98" s="257"/>
      <c r="CO98" s="257"/>
      <c r="CP98" s="257"/>
      <c r="CQ98" s="257"/>
      <c r="CR98" s="257"/>
      <c r="CS98" s="257"/>
      <c r="CT98" s="257"/>
      <c r="CU98" s="257"/>
      <c r="CV98" s="257"/>
      <c r="CW98" s="257"/>
      <c r="CX98" s="257"/>
      <c r="CY98" s="257"/>
      <c r="CZ98" s="257"/>
      <c r="DA98" s="257"/>
      <c r="DB98" s="257"/>
      <c r="DC98" s="257"/>
      <c r="DD98" s="257"/>
      <c r="DE98" s="257"/>
      <c r="DF98" s="257"/>
      <c r="DG98" s="257"/>
      <c r="DH98" s="257"/>
      <c r="DI98" s="257"/>
      <c r="DJ98" s="257"/>
      <c r="DK98" s="257"/>
      <c r="DL98" s="257"/>
      <c r="DM98" s="257"/>
      <c r="DN98" s="257"/>
      <c r="DO98" s="257"/>
      <c r="DP98" s="257"/>
      <c r="DQ98" s="257"/>
      <c r="DR98" s="257"/>
      <c r="DS98" s="257"/>
      <c r="DT98" s="257"/>
      <c r="DU98" s="257"/>
      <c r="DV98" s="257"/>
      <c r="DW98" s="257"/>
      <c r="DX98" s="257"/>
      <c r="DY98" s="257"/>
      <c r="DZ98" s="257"/>
      <c r="EA98" s="257"/>
      <c r="EB98" s="257"/>
      <c r="EC98" s="257"/>
      <c r="ED98" s="257"/>
      <c r="EE98" s="257"/>
      <c r="EF98" s="257"/>
      <c r="EG98" s="257"/>
      <c r="EH98" s="257"/>
      <c r="EI98" s="257"/>
      <c r="EJ98" s="257"/>
      <c r="EK98" s="257"/>
      <c r="EL98" s="257"/>
      <c r="EM98" s="257"/>
      <c r="EN98" s="257"/>
      <c r="EO98" s="257"/>
      <c r="EP98" s="257"/>
      <c r="EQ98" s="257"/>
      <c r="ER98" s="257"/>
      <c r="ES98" s="257"/>
      <c r="ET98" s="257"/>
      <c r="EU98" s="257"/>
      <c r="EV98" s="257"/>
      <c r="EW98" s="257"/>
      <c r="EX98" s="257"/>
      <c r="EY98" s="257"/>
      <c r="EZ98" s="257"/>
      <c r="FA98" s="257"/>
      <c r="FB98" s="257"/>
      <c r="FC98" s="257"/>
      <c r="FD98" s="257"/>
      <c r="FE98" s="257"/>
      <c r="FF98" s="257"/>
      <c r="FG98" s="257"/>
      <c r="FH98" s="257"/>
      <c r="FI98" s="257"/>
      <c r="FJ98" s="257"/>
      <c r="FK98" s="257"/>
      <c r="FL98" s="257"/>
      <c r="FM98" s="257"/>
      <c r="FN98" s="257"/>
      <c r="FO98" s="257"/>
      <c r="FP98" s="257"/>
      <c r="FQ98" s="257"/>
      <c r="FR98" s="257"/>
      <c r="FS98" s="257"/>
      <c r="FT98" s="257"/>
      <c r="FU98" s="257"/>
      <c r="FV98" s="257"/>
      <c r="FW98" s="257"/>
      <c r="FX98" s="257"/>
      <c r="FY98" s="257"/>
      <c r="FZ98" s="257"/>
      <c r="GA98" s="257"/>
      <c r="GB98" s="257"/>
      <c r="GC98" s="257"/>
      <c r="GD98" s="257"/>
      <c r="GE98" s="257"/>
      <c r="GF98" s="257"/>
      <c r="GG98" s="257"/>
      <c r="GH98" s="257"/>
      <c r="GI98" s="257"/>
      <c r="GJ98" s="257"/>
      <c r="GK98" s="257"/>
      <c r="GL98" s="257"/>
      <c r="GM98" s="257"/>
      <c r="GN98" s="257"/>
      <c r="GO98" s="257"/>
      <c r="GP98" s="257"/>
      <c r="GQ98" s="257"/>
      <c r="GR98" s="257"/>
      <c r="GS98" s="257"/>
      <c r="GT98" s="257"/>
      <c r="GU98" s="257"/>
      <c r="GV98" s="257"/>
      <c r="GW98" s="257"/>
      <c r="GX98" s="257"/>
      <c r="GY98" s="257"/>
      <c r="GZ98" s="257"/>
      <c r="HA98" s="257"/>
      <c r="HB98" s="257"/>
      <c r="HC98" s="257"/>
      <c r="HD98" s="257"/>
      <c r="HE98" s="257"/>
      <c r="HF98" s="257"/>
      <c r="HG98" s="257"/>
      <c r="HH98" s="257"/>
      <c r="HI98" s="257"/>
      <c r="HJ98" s="257"/>
      <c r="HK98" s="257"/>
      <c r="HL98" s="257"/>
      <c r="HM98" s="257"/>
      <c r="HN98" s="257"/>
      <c r="HO98" s="257"/>
      <c r="HP98" s="257"/>
      <c r="HQ98" s="257"/>
      <c r="HR98" s="257"/>
    </row>
    <row r="99" spans="1:226" x14ac:dyDescent="0.2">
      <c r="A99" s="304">
        <v>313</v>
      </c>
      <c r="B99" s="305" t="s">
        <v>191</v>
      </c>
      <c r="C99" s="306" t="s">
        <v>151</v>
      </c>
      <c r="D99" s="307">
        <f>D17</f>
        <v>1005013203</v>
      </c>
      <c r="E99" s="307">
        <f>E17</f>
        <v>997693123.66000009</v>
      </c>
      <c r="F99" s="303">
        <f>F17</f>
        <v>7320079.3399999999</v>
      </c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7"/>
      <c r="AP99" s="257"/>
      <c r="AQ99" s="257"/>
      <c r="AR99" s="257"/>
      <c r="AS99" s="257"/>
      <c r="AT99" s="257"/>
      <c r="AU99" s="257"/>
      <c r="AV99" s="257"/>
      <c r="AW99" s="257"/>
      <c r="AX99" s="257"/>
      <c r="AY99" s="257"/>
      <c r="AZ99" s="257"/>
      <c r="BA99" s="257"/>
      <c r="BB99" s="257"/>
      <c r="BC99" s="257"/>
      <c r="BD99" s="257"/>
      <c r="BE99" s="257"/>
      <c r="BF99" s="257"/>
      <c r="BG99" s="257"/>
      <c r="BH99" s="257"/>
      <c r="BI99" s="257"/>
      <c r="BJ99" s="257"/>
      <c r="BK99" s="257"/>
      <c r="BL99" s="257"/>
      <c r="BM99" s="257"/>
      <c r="BN99" s="257"/>
      <c r="BO99" s="257"/>
      <c r="BP99" s="257"/>
      <c r="BQ99" s="257"/>
      <c r="BR99" s="257"/>
      <c r="BS99" s="257"/>
      <c r="BT99" s="257"/>
      <c r="BU99" s="257"/>
      <c r="BV99" s="257"/>
      <c r="BW99" s="257"/>
      <c r="BX99" s="257"/>
      <c r="BY99" s="257"/>
      <c r="BZ99" s="257"/>
      <c r="CA99" s="257"/>
      <c r="CB99" s="257"/>
      <c r="CC99" s="257"/>
      <c r="CD99" s="257"/>
      <c r="CE99" s="257"/>
      <c r="CF99" s="257"/>
      <c r="CG99" s="257"/>
      <c r="CH99" s="257"/>
      <c r="CI99" s="257"/>
      <c r="CJ99" s="257"/>
      <c r="CK99" s="257"/>
      <c r="CL99" s="257"/>
      <c r="CM99" s="257"/>
      <c r="CN99" s="257"/>
      <c r="CO99" s="257"/>
      <c r="CP99" s="257"/>
      <c r="CQ99" s="257"/>
      <c r="CR99" s="257"/>
      <c r="CS99" s="257"/>
      <c r="CT99" s="257"/>
      <c r="CU99" s="257"/>
      <c r="CV99" s="257"/>
      <c r="CW99" s="257"/>
      <c r="CX99" s="257"/>
      <c r="CY99" s="257"/>
      <c r="CZ99" s="257"/>
      <c r="DA99" s="257"/>
      <c r="DB99" s="257"/>
      <c r="DC99" s="257"/>
      <c r="DD99" s="257"/>
      <c r="DE99" s="257"/>
      <c r="DF99" s="257"/>
      <c r="DG99" s="257"/>
      <c r="DH99" s="257"/>
      <c r="DI99" s="257"/>
      <c r="DJ99" s="257"/>
      <c r="DK99" s="257"/>
      <c r="DL99" s="257"/>
      <c r="DM99" s="257"/>
      <c r="DN99" s="257"/>
      <c r="DO99" s="257"/>
      <c r="DP99" s="257"/>
      <c r="DQ99" s="257"/>
      <c r="DR99" s="257"/>
      <c r="DS99" s="257"/>
      <c r="DT99" s="257"/>
      <c r="DU99" s="257"/>
      <c r="DV99" s="257"/>
      <c r="DW99" s="257"/>
      <c r="DX99" s="257"/>
      <c r="DY99" s="257"/>
      <c r="DZ99" s="257"/>
      <c r="EA99" s="257"/>
      <c r="EB99" s="257"/>
      <c r="EC99" s="257"/>
      <c r="ED99" s="257"/>
      <c r="EE99" s="257"/>
      <c r="EF99" s="257"/>
      <c r="EG99" s="257"/>
      <c r="EH99" s="257"/>
      <c r="EI99" s="257"/>
      <c r="EJ99" s="257"/>
      <c r="EK99" s="257"/>
      <c r="EL99" s="257"/>
      <c r="EM99" s="257"/>
      <c r="EN99" s="257"/>
      <c r="EO99" s="257"/>
      <c r="EP99" s="257"/>
      <c r="EQ99" s="257"/>
      <c r="ER99" s="257"/>
      <c r="ES99" s="257"/>
      <c r="ET99" s="257"/>
      <c r="EU99" s="257"/>
      <c r="EV99" s="257"/>
      <c r="EW99" s="257"/>
      <c r="EX99" s="257"/>
      <c r="EY99" s="257"/>
      <c r="EZ99" s="257"/>
      <c r="FA99" s="257"/>
      <c r="FB99" s="257"/>
      <c r="FC99" s="257"/>
      <c r="FD99" s="257"/>
      <c r="FE99" s="257"/>
      <c r="FF99" s="257"/>
      <c r="FG99" s="257"/>
      <c r="FH99" s="257"/>
      <c r="FI99" s="257"/>
      <c r="FJ99" s="257"/>
      <c r="FK99" s="257"/>
      <c r="FL99" s="257"/>
      <c r="FM99" s="257"/>
      <c r="FN99" s="257"/>
      <c r="FO99" s="257"/>
      <c r="FP99" s="257"/>
      <c r="FQ99" s="257"/>
      <c r="FR99" s="257"/>
      <c r="FS99" s="257"/>
      <c r="FT99" s="257"/>
      <c r="FU99" s="257"/>
      <c r="FV99" s="257"/>
      <c r="FW99" s="257"/>
      <c r="FX99" s="257"/>
      <c r="FY99" s="257"/>
      <c r="FZ99" s="257"/>
      <c r="GA99" s="257"/>
      <c r="GB99" s="257"/>
      <c r="GC99" s="257"/>
      <c r="GD99" s="257"/>
      <c r="GE99" s="257"/>
      <c r="GF99" s="257"/>
      <c r="GG99" s="257"/>
      <c r="GH99" s="257"/>
      <c r="GI99" s="257"/>
      <c r="GJ99" s="257"/>
      <c r="GK99" s="257"/>
      <c r="GL99" s="257"/>
      <c r="GM99" s="257"/>
      <c r="GN99" s="257"/>
      <c r="GO99" s="257"/>
      <c r="GP99" s="257"/>
      <c r="GQ99" s="257"/>
      <c r="GR99" s="257"/>
      <c r="GS99" s="257"/>
      <c r="GT99" s="257"/>
      <c r="GU99" s="257"/>
      <c r="GV99" s="257"/>
      <c r="GW99" s="257"/>
      <c r="GX99" s="257"/>
      <c r="GY99" s="257"/>
      <c r="GZ99" s="257"/>
      <c r="HA99" s="257"/>
      <c r="HB99" s="257"/>
      <c r="HC99" s="257"/>
      <c r="HD99" s="257"/>
      <c r="HE99" s="257"/>
      <c r="HF99" s="257"/>
      <c r="HG99" s="257"/>
      <c r="HH99" s="257"/>
      <c r="HI99" s="257"/>
      <c r="HJ99" s="257"/>
      <c r="HK99" s="257"/>
      <c r="HL99" s="257"/>
      <c r="HM99" s="257"/>
      <c r="HN99" s="257"/>
      <c r="HO99" s="257"/>
      <c r="HP99" s="257"/>
      <c r="HQ99" s="257"/>
      <c r="HR99" s="257"/>
    </row>
    <row r="100" spans="1:226" x14ac:dyDescent="0.2">
      <c r="A100" s="304">
        <v>314</v>
      </c>
      <c r="B100" s="305" t="s">
        <v>709</v>
      </c>
      <c r="C100" s="306" t="s">
        <v>716</v>
      </c>
      <c r="D100" s="307">
        <f>D24</f>
        <v>1373400</v>
      </c>
      <c r="E100" s="307">
        <f>E24</f>
        <v>1260511</v>
      </c>
      <c r="F100" s="303">
        <f>F24</f>
        <v>112889</v>
      </c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7"/>
      <c r="BD100" s="257"/>
      <c r="BE100" s="257"/>
      <c r="BF100" s="257"/>
      <c r="BG100" s="257"/>
      <c r="BH100" s="257"/>
      <c r="BI100" s="257"/>
      <c r="BJ100" s="257"/>
      <c r="BK100" s="257"/>
      <c r="BL100" s="257"/>
      <c r="BM100" s="257"/>
      <c r="BN100" s="257"/>
      <c r="BO100" s="257"/>
      <c r="BP100" s="257"/>
      <c r="BQ100" s="257"/>
      <c r="BR100" s="257"/>
      <c r="BS100" s="257"/>
      <c r="BT100" s="257"/>
      <c r="BU100" s="257"/>
      <c r="BV100" s="257"/>
      <c r="BW100" s="257"/>
      <c r="BX100" s="257"/>
      <c r="BY100" s="257"/>
      <c r="BZ100" s="257"/>
      <c r="CA100" s="257"/>
      <c r="CB100" s="257"/>
      <c r="CC100" s="257"/>
      <c r="CD100" s="257"/>
      <c r="CE100" s="257"/>
      <c r="CF100" s="257"/>
      <c r="CG100" s="257"/>
      <c r="CH100" s="257"/>
      <c r="CI100" s="257"/>
      <c r="CJ100" s="257"/>
      <c r="CK100" s="257"/>
      <c r="CL100" s="257"/>
      <c r="CM100" s="257"/>
      <c r="CN100" s="257"/>
      <c r="CO100" s="257"/>
      <c r="CP100" s="257"/>
      <c r="CQ100" s="257"/>
      <c r="CR100" s="257"/>
      <c r="CS100" s="257"/>
      <c r="CT100" s="257"/>
      <c r="CU100" s="257"/>
      <c r="CV100" s="257"/>
      <c r="CW100" s="257"/>
      <c r="CX100" s="257"/>
      <c r="CY100" s="257"/>
      <c r="CZ100" s="257"/>
      <c r="DA100" s="257"/>
      <c r="DB100" s="257"/>
      <c r="DC100" s="257"/>
      <c r="DD100" s="257"/>
      <c r="DE100" s="257"/>
      <c r="DF100" s="257"/>
      <c r="DG100" s="257"/>
      <c r="DH100" s="257"/>
      <c r="DI100" s="257"/>
      <c r="DJ100" s="257"/>
      <c r="DK100" s="257"/>
      <c r="DL100" s="257"/>
      <c r="DM100" s="257"/>
      <c r="DN100" s="257"/>
      <c r="DO100" s="257"/>
      <c r="DP100" s="257"/>
      <c r="DQ100" s="257"/>
      <c r="DR100" s="257"/>
      <c r="DS100" s="257"/>
      <c r="DT100" s="257"/>
      <c r="DU100" s="257"/>
      <c r="DV100" s="257"/>
      <c r="DW100" s="257"/>
      <c r="DX100" s="257"/>
      <c r="DY100" s="257"/>
      <c r="DZ100" s="257"/>
      <c r="EA100" s="257"/>
      <c r="EB100" s="257"/>
      <c r="EC100" s="257"/>
      <c r="ED100" s="257"/>
      <c r="EE100" s="257"/>
      <c r="EF100" s="257"/>
      <c r="EG100" s="257"/>
      <c r="EH100" s="257"/>
      <c r="EI100" s="257"/>
      <c r="EJ100" s="257"/>
      <c r="EK100" s="257"/>
      <c r="EL100" s="257"/>
      <c r="EM100" s="257"/>
      <c r="EN100" s="257"/>
      <c r="EO100" s="257"/>
      <c r="EP100" s="257"/>
      <c r="EQ100" s="257"/>
      <c r="ER100" s="257"/>
      <c r="ES100" s="257"/>
      <c r="ET100" s="257"/>
      <c r="EU100" s="257"/>
      <c r="EV100" s="257"/>
      <c r="EW100" s="257"/>
      <c r="EX100" s="257"/>
      <c r="EY100" s="257"/>
      <c r="EZ100" s="257"/>
      <c r="FA100" s="257"/>
      <c r="FB100" s="257"/>
      <c r="FC100" s="257"/>
      <c r="FD100" s="257"/>
      <c r="FE100" s="257"/>
      <c r="FF100" s="257"/>
      <c r="FG100" s="257"/>
      <c r="FH100" s="257"/>
      <c r="FI100" s="257"/>
      <c r="FJ100" s="257"/>
      <c r="FK100" s="257"/>
      <c r="FL100" s="257"/>
      <c r="FM100" s="257"/>
      <c r="FN100" s="257"/>
      <c r="FO100" s="257"/>
      <c r="FP100" s="257"/>
      <c r="FQ100" s="257"/>
      <c r="FR100" s="257"/>
      <c r="FS100" s="257"/>
      <c r="FT100" s="257"/>
      <c r="FU100" s="257"/>
      <c r="FV100" s="257"/>
      <c r="FW100" s="257"/>
      <c r="FX100" s="257"/>
      <c r="FY100" s="257"/>
      <c r="FZ100" s="257"/>
      <c r="GA100" s="257"/>
      <c r="GB100" s="257"/>
      <c r="GC100" s="257"/>
      <c r="GD100" s="257"/>
      <c r="GE100" s="257"/>
      <c r="GF100" s="257"/>
      <c r="GG100" s="257"/>
      <c r="GH100" s="257"/>
      <c r="GI100" s="257"/>
      <c r="GJ100" s="257"/>
      <c r="GK100" s="257"/>
      <c r="GL100" s="257"/>
      <c r="GM100" s="257"/>
      <c r="GN100" s="257"/>
      <c r="GO100" s="257"/>
      <c r="GP100" s="257"/>
      <c r="GQ100" s="257"/>
      <c r="GR100" s="257"/>
      <c r="GS100" s="257"/>
      <c r="GT100" s="257"/>
      <c r="GU100" s="257"/>
      <c r="GV100" s="257"/>
      <c r="GW100" s="257"/>
      <c r="GX100" s="257"/>
      <c r="GY100" s="257"/>
      <c r="GZ100" s="257"/>
      <c r="HA100" s="257"/>
      <c r="HB100" s="257"/>
      <c r="HC100" s="257"/>
      <c r="HD100" s="257"/>
      <c r="HE100" s="257"/>
      <c r="HF100" s="257"/>
      <c r="HG100" s="257"/>
      <c r="HH100" s="257"/>
      <c r="HI100" s="257"/>
      <c r="HJ100" s="257"/>
      <c r="HK100" s="257"/>
      <c r="HL100" s="257"/>
      <c r="HM100" s="257"/>
      <c r="HN100" s="257"/>
      <c r="HO100" s="257"/>
      <c r="HP100" s="257"/>
      <c r="HQ100" s="257"/>
      <c r="HR100" s="257"/>
    </row>
    <row r="101" spans="1:226" x14ac:dyDescent="0.2">
      <c r="A101" s="304">
        <v>317</v>
      </c>
      <c r="B101" s="305" t="s">
        <v>193</v>
      </c>
      <c r="C101" s="306" t="s">
        <v>635</v>
      </c>
      <c r="D101" s="308">
        <f>D31</f>
        <v>214120</v>
      </c>
      <c r="E101" s="308">
        <f>E31</f>
        <v>214120</v>
      </c>
      <c r="F101" s="303">
        <v>0</v>
      </c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257"/>
      <c r="AN101" s="257"/>
      <c r="AO101" s="257"/>
      <c r="AP101" s="257"/>
      <c r="AQ101" s="257"/>
      <c r="AR101" s="257"/>
      <c r="AS101" s="257"/>
      <c r="AT101" s="257"/>
      <c r="AU101" s="257"/>
      <c r="AV101" s="257"/>
      <c r="AW101" s="257"/>
      <c r="AX101" s="257"/>
      <c r="AY101" s="257"/>
      <c r="AZ101" s="257"/>
      <c r="BA101" s="257"/>
      <c r="BB101" s="257"/>
      <c r="BC101" s="257"/>
      <c r="BD101" s="257"/>
      <c r="BE101" s="257"/>
      <c r="BF101" s="257"/>
      <c r="BG101" s="257"/>
      <c r="BH101" s="257"/>
      <c r="BI101" s="257"/>
      <c r="BJ101" s="257"/>
      <c r="BK101" s="257"/>
      <c r="BL101" s="257"/>
      <c r="BM101" s="257"/>
      <c r="BN101" s="257"/>
      <c r="BO101" s="257"/>
      <c r="BP101" s="257"/>
      <c r="BQ101" s="257"/>
      <c r="BR101" s="257"/>
      <c r="BS101" s="257"/>
      <c r="BT101" s="257"/>
      <c r="BU101" s="257"/>
      <c r="BV101" s="257"/>
      <c r="BW101" s="257"/>
      <c r="BX101" s="257"/>
      <c r="BY101" s="257"/>
      <c r="BZ101" s="257"/>
      <c r="CA101" s="257"/>
      <c r="CB101" s="257"/>
      <c r="CC101" s="257"/>
      <c r="CD101" s="257"/>
      <c r="CE101" s="257"/>
      <c r="CF101" s="257"/>
      <c r="CG101" s="257"/>
      <c r="CH101" s="257"/>
      <c r="CI101" s="257"/>
      <c r="CJ101" s="257"/>
      <c r="CK101" s="257"/>
      <c r="CL101" s="257"/>
      <c r="CM101" s="257"/>
      <c r="CN101" s="257"/>
      <c r="CO101" s="257"/>
      <c r="CP101" s="257"/>
      <c r="CQ101" s="257"/>
      <c r="CR101" s="257"/>
      <c r="CS101" s="257"/>
      <c r="CT101" s="257"/>
      <c r="CU101" s="257"/>
      <c r="CV101" s="257"/>
      <c r="CW101" s="257"/>
      <c r="CX101" s="257"/>
      <c r="CY101" s="257"/>
      <c r="CZ101" s="257"/>
      <c r="DA101" s="257"/>
      <c r="DB101" s="257"/>
      <c r="DC101" s="257"/>
      <c r="DD101" s="257"/>
      <c r="DE101" s="257"/>
      <c r="DF101" s="257"/>
      <c r="DG101" s="257"/>
      <c r="DH101" s="257"/>
      <c r="DI101" s="257"/>
      <c r="DJ101" s="257"/>
      <c r="DK101" s="257"/>
      <c r="DL101" s="257"/>
      <c r="DM101" s="257"/>
      <c r="DN101" s="257"/>
      <c r="DO101" s="257"/>
      <c r="DP101" s="257"/>
      <c r="DQ101" s="257"/>
      <c r="DR101" s="257"/>
      <c r="DS101" s="257"/>
      <c r="DT101" s="257"/>
      <c r="DU101" s="257"/>
      <c r="DV101" s="257"/>
      <c r="DW101" s="257"/>
      <c r="DX101" s="257"/>
      <c r="DY101" s="257"/>
      <c r="DZ101" s="257"/>
      <c r="EA101" s="257"/>
      <c r="EB101" s="257"/>
      <c r="EC101" s="257"/>
      <c r="ED101" s="257"/>
      <c r="EE101" s="257"/>
      <c r="EF101" s="257"/>
      <c r="EG101" s="257"/>
      <c r="EH101" s="257"/>
      <c r="EI101" s="257"/>
      <c r="EJ101" s="257"/>
      <c r="EK101" s="257"/>
      <c r="EL101" s="257"/>
      <c r="EM101" s="257"/>
      <c r="EN101" s="257"/>
      <c r="EO101" s="257"/>
      <c r="EP101" s="257"/>
      <c r="EQ101" s="257"/>
      <c r="ER101" s="257"/>
      <c r="ES101" s="257"/>
      <c r="ET101" s="257"/>
      <c r="EU101" s="257"/>
      <c r="EV101" s="257"/>
      <c r="EW101" s="257"/>
      <c r="EX101" s="257"/>
      <c r="EY101" s="257"/>
      <c r="EZ101" s="257"/>
      <c r="FA101" s="257"/>
      <c r="FB101" s="257"/>
      <c r="FC101" s="257"/>
      <c r="FD101" s="257"/>
      <c r="FE101" s="257"/>
      <c r="FF101" s="257"/>
      <c r="FG101" s="257"/>
      <c r="FH101" s="257"/>
      <c r="FI101" s="257"/>
      <c r="FJ101" s="257"/>
      <c r="FK101" s="257"/>
      <c r="FL101" s="257"/>
      <c r="FM101" s="257"/>
      <c r="FN101" s="257"/>
      <c r="FO101" s="257"/>
      <c r="FP101" s="257"/>
      <c r="FQ101" s="257"/>
      <c r="FR101" s="257"/>
      <c r="FS101" s="257"/>
      <c r="FT101" s="257"/>
      <c r="FU101" s="257"/>
      <c r="FV101" s="257"/>
      <c r="FW101" s="257"/>
      <c r="FX101" s="257"/>
      <c r="FY101" s="257"/>
      <c r="FZ101" s="257"/>
      <c r="GA101" s="257"/>
      <c r="GB101" s="257"/>
      <c r="GC101" s="257"/>
      <c r="GD101" s="257"/>
      <c r="GE101" s="257"/>
      <c r="GF101" s="257"/>
      <c r="GG101" s="257"/>
      <c r="GH101" s="257"/>
      <c r="GI101" s="257"/>
      <c r="GJ101" s="257"/>
      <c r="GK101" s="257"/>
      <c r="GL101" s="257"/>
      <c r="GM101" s="257"/>
      <c r="GN101" s="257"/>
      <c r="GO101" s="257"/>
      <c r="GP101" s="257"/>
      <c r="GQ101" s="257"/>
      <c r="GR101" s="257"/>
      <c r="GS101" s="257"/>
      <c r="GT101" s="257"/>
      <c r="GU101" s="257"/>
      <c r="GV101" s="257"/>
      <c r="GW101" s="257"/>
      <c r="GX101" s="257"/>
      <c r="GY101" s="257"/>
      <c r="GZ101" s="257"/>
      <c r="HA101" s="257"/>
      <c r="HB101" s="257"/>
      <c r="HC101" s="257"/>
      <c r="HD101" s="257"/>
      <c r="HE101" s="257"/>
      <c r="HF101" s="257"/>
      <c r="HG101" s="257"/>
      <c r="HH101" s="257"/>
      <c r="HI101" s="257"/>
      <c r="HJ101" s="257"/>
      <c r="HK101" s="257"/>
      <c r="HL101" s="257"/>
      <c r="HM101" s="257"/>
      <c r="HN101" s="257"/>
      <c r="HO101" s="257"/>
      <c r="HP101" s="257"/>
      <c r="HQ101" s="257"/>
      <c r="HR101" s="257"/>
    </row>
    <row r="102" spans="1:226" x14ac:dyDescent="0.2">
      <c r="A102" s="304">
        <v>327</v>
      </c>
      <c r="B102" s="305" t="s">
        <v>192</v>
      </c>
      <c r="C102" s="306" t="s">
        <v>152</v>
      </c>
      <c r="D102" s="308">
        <f>D37</f>
        <v>131933197</v>
      </c>
      <c r="E102" s="308">
        <f>E37</f>
        <v>129496959.68000001</v>
      </c>
      <c r="F102" s="309">
        <f>F37</f>
        <v>2436237.3199999998</v>
      </c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257"/>
      <c r="X102" s="257"/>
      <c r="Y102" s="257"/>
      <c r="Z102" s="257"/>
      <c r="AA102" s="257"/>
      <c r="AB102" s="257"/>
      <c r="AC102" s="257"/>
      <c r="AD102" s="257"/>
      <c r="AE102" s="257"/>
      <c r="AF102" s="257"/>
      <c r="AG102" s="257"/>
      <c r="AH102" s="257"/>
      <c r="AI102" s="257"/>
      <c r="AJ102" s="257"/>
      <c r="AK102" s="257"/>
      <c r="AL102" s="257"/>
      <c r="AM102" s="257"/>
      <c r="AN102" s="257"/>
      <c r="AO102" s="257"/>
      <c r="AP102" s="257"/>
      <c r="AQ102" s="257"/>
      <c r="AR102" s="257"/>
      <c r="AS102" s="257"/>
      <c r="AT102" s="257"/>
      <c r="AU102" s="257"/>
      <c r="AV102" s="257"/>
      <c r="AW102" s="257"/>
      <c r="AX102" s="257"/>
      <c r="AY102" s="257"/>
      <c r="AZ102" s="257"/>
      <c r="BA102" s="257"/>
      <c r="BB102" s="257"/>
      <c r="BC102" s="257"/>
      <c r="BD102" s="257"/>
      <c r="BE102" s="257"/>
      <c r="BF102" s="257"/>
      <c r="BG102" s="257"/>
      <c r="BH102" s="257"/>
      <c r="BI102" s="257"/>
      <c r="BJ102" s="257"/>
      <c r="BK102" s="257"/>
      <c r="BL102" s="257"/>
      <c r="BM102" s="257"/>
      <c r="BN102" s="257"/>
      <c r="BO102" s="257"/>
      <c r="BP102" s="257"/>
      <c r="BQ102" s="257"/>
      <c r="BR102" s="257"/>
      <c r="BS102" s="257"/>
      <c r="BT102" s="257"/>
      <c r="BU102" s="257"/>
      <c r="BV102" s="257"/>
      <c r="BW102" s="257"/>
      <c r="BX102" s="257"/>
      <c r="BY102" s="257"/>
      <c r="BZ102" s="257"/>
      <c r="CA102" s="257"/>
      <c r="CB102" s="257"/>
      <c r="CC102" s="257"/>
      <c r="CD102" s="257"/>
      <c r="CE102" s="257"/>
      <c r="CF102" s="257"/>
      <c r="CG102" s="257"/>
      <c r="CH102" s="257"/>
      <c r="CI102" s="257"/>
      <c r="CJ102" s="257"/>
      <c r="CK102" s="257"/>
      <c r="CL102" s="257"/>
      <c r="CM102" s="257"/>
      <c r="CN102" s="257"/>
      <c r="CO102" s="257"/>
      <c r="CP102" s="257"/>
      <c r="CQ102" s="257"/>
      <c r="CR102" s="257"/>
      <c r="CS102" s="257"/>
      <c r="CT102" s="257"/>
      <c r="CU102" s="257"/>
      <c r="CV102" s="257"/>
      <c r="CW102" s="257"/>
      <c r="CX102" s="257"/>
      <c r="CY102" s="257"/>
      <c r="CZ102" s="257"/>
      <c r="DA102" s="257"/>
      <c r="DB102" s="257"/>
      <c r="DC102" s="257"/>
      <c r="DD102" s="257"/>
      <c r="DE102" s="257"/>
      <c r="DF102" s="257"/>
      <c r="DG102" s="257"/>
      <c r="DH102" s="257"/>
      <c r="DI102" s="257"/>
      <c r="DJ102" s="257"/>
      <c r="DK102" s="257"/>
      <c r="DL102" s="257"/>
      <c r="DM102" s="257"/>
      <c r="DN102" s="257"/>
      <c r="DO102" s="257"/>
      <c r="DP102" s="257"/>
      <c r="DQ102" s="257"/>
      <c r="DR102" s="257"/>
      <c r="DS102" s="257"/>
      <c r="DT102" s="257"/>
      <c r="DU102" s="257"/>
      <c r="DV102" s="257"/>
      <c r="DW102" s="257"/>
      <c r="DX102" s="257"/>
      <c r="DY102" s="257"/>
      <c r="DZ102" s="257"/>
      <c r="EA102" s="257"/>
      <c r="EB102" s="257"/>
      <c r="EC102" s="257"/>
      <c r="ED102" s="257"/>
      <c r="EE102" s="257"/>
      <c r="EF102" s="257"/>
      <c r="EG102" s="257"/>
      <c r="EH102" s="257"/>
      <c r="EI102" s="257"/>
      <c r="EJ102" s="257"/>
      <c r="EK102" s="257"/>
      <c r="EL102" s="257"/>
      <c r="EM102" s="257"/>
      <c r="EN102" s="257"/>
      <c r="EO102" s="257"/>
      <c r="EP102" s="257"/>
      <c r="EQ102" s="257"/>
      <c r="ER102" s="257"/>
      <c r="ES102" s="257"/>
      <c r="ET102" s="257"/>
      <c r="EU102" s="257"/>
      <c r="EV102" s="257"/>
      <c r="EW102" s="257"/>
      <c r="EX102" s="257"/>
      <c r="EY102" s="257"/>
      <c r="EZ102" s="257"/>
      <c r="FA102" s="257"/>
      <c r="FB102" s="257"/>
      <c r="FC102" s="257"/>
      <c r="FD102" s="257"/>
      <c r="FE102" s="257"/>
      <c r="FF102" s="257"/>
      <c r="FG102" s="257"/>
      <c r="FH102" s="257"/>
      <c r="FI102" s="257"/>
      <c r="FJ102" s="257"/>
      <c r="FK102" s="257"/>
      <c r="FL102" s="257"/>
      <c r="FM102" s="257"/>
      <c r="FN102" s="257"/>
      <c r="FO102" s="257"/>
      <c r="FP102" s="257"/>
      <c r="FQ102" s="257"/>
      <c r="FR102" s="257"/>
      <c r="FS102" s="257"/>
      <c r="FT102" s="257"/>
      <c r="FU102" s="257"/>
      <c r="FV102" s="257"/>
      <c r="FW102" s="257"/>
      <c r="FX102" s="257"/>
      <c r="FY102" s="257"/>
      <c r="FZ102" s="257"/>
      <c r="GA102" s="257"/>
      <c r="GB102" s="257"/>
      <c r="GC102" s="257"/>
      <c r="GD102" s="257"/>
      <c r="GE102" s="257"/>
      <c r="GF102" s="257"/>
      <c r="GG102" s="257"/>
      <c r="GH102" s="257"/>
      <c r="GI102" s="257"/>
      <c r="GJ102" s="257"/>
      <c r="GK102" s="257"/>
      <c r="GL102" s="257"/>
      <c r="GM102" s="257"/>
      <c r="GN102" s="257"/>
      <c r="GO102" s="257"/>
      <c r="GP102" s="257"/>
      <c r="GQ102" s="257"/>
      <c r="GR102" s="257"/>
      <c r="GS102" s="257"/>
      <c r="GT102" s="257"/>
      <c r="GU102" s="257"/>
      <c r="GV102" s="257"/>
      <c r="GW102" s="257"/>
      <c r="GX102" s="257"/>
      <c r="GY102" s="257"/>
      <c r="GZ102" s="257"/>
      <c r="HA102" s="257"/>
      <c r="HB102" s="257"/>
      <c r="HC102" s="257"/>
      <c r="HD102" s="257"/>
      <c r="HE102" s="257"/>
      <c r="HF102" s="257"/>
      <c r="HG102" s="257"/>
      <c r="HH102" s="257"/>
      <c r="HI102" s="257"/>
      <c r="HJ102" s="257"/>
      <c r="HK102" s="257"/>
      <c r="HL102" s="257"/>
      <c r="HM102" s="257"/>
      <c r="HN102" s="257"/>
      <c r="HO102" s="257"/>
      <c r="HP102" s="257"/>
      <c r="HQ102" s="257"/>
      <c r="HR102" s="257"/>
    </row>
    <row r="103" spans="1:226" x14ac:dyDescent="0.2">
      <c r="A103" s="304">
        <v>333</v>
      </c>
      <c r="B103" s="305" t="s">
        <v>190</v>
      </c>
      <c r="C103" s="306" t="s">
        <v>613</v>
      </c>
      <c r="D103" s="294">
        <f>D49</f>
        <v>7330824275</v>
      </c>
      <c r="E103" s="294">
        <f>E49</f>
        <v>7301247932.29</v>
      </c>
      <c r="F103" s="310">
        <f>F49</f>
        <v>29576342.710000001</v>
      </c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257"/>
      <c r="X103" s="257"/>
      <c r="Y103" s="257"/>
      <c r="Z103" s="257"/>
      <c r="AA103" s="257"/>
      <c r="AB103" s="257"/>
      <c r="AC103" s="257"/>
      <c r="AD103" s="257"/>
      <c r="AE103" s="257"/>
      <c r="AF103" s="257"/>
      <c r="AG103" s="257"/>
      <c r="AH103" s="257"/>
      <c r="AI103" s="257"/>
      <c r="AJ103" s="257"/>
      <c r="AK103" s="257"/>
      <c r="AL103" s="257"/>
      <c r="AM103" s="257"/>
      <c r="AN103" s="257"/>
      <c r="AO103" s="257"/>
      <c r="AP103" s="257"/>
      <c r="AQ103" s="257"/>
      <c r="AR103" s="257"/>
      <c r="AS103" s="257"/>
      <c r="AT103" s="257"/>
      <c r="AU103" s="257"/>
      <c r="AV103" s="257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  <c r="BK103" s="257"/>
      <c r="BL103" s="257"/>
      <c r="BM103" s="257"/>
      <c r="BN103" s="257"/>
      <c r="BO103" s="257"/>
      <c r="BP103" s="257"/>
      <c r="BQ103" s="257"/>
      <c r="BR103" s="257"/>
      <c r="BS103" s="257"/>
      <c r="BT103" s="257"/>
      <c r="BU103" s="257"/>
      <c r="BV103" s="257"/>
      <c r="BW103" s="257"/>
      <c r="BX103" s="257"/>
      <c r="BY103" s="257"/>
      <c r="BZ103" s="257"/>
      <c r="CA103" s="257"/>
      <c r="CB103" s="257"/>
      <c r="CC103" s="257"/>
      <c r="CD103" s="257"/>
      <c r="CE103" s="257"/>
      <c r="CF103" s="257"/>
      <c r="CG103" s="257"/>
      <c r="CH103" s="257"/>
      <c r="CI103" s="257"/>
      <c r="CJ103" s="257"/>
      <c r="CK103" s="257"/>
      <c r="CL103" s="257"/>
      <c r="CM103" s="257"/>
      <c r="CN103" s="257"/>
      <c r="CO103" s="257"/>
      <c r="CP103" s="257"/>
      <c r="CQ103" s="257"/>
      <c r="CR103" s="257"/>
      <c r="CS103" s="257"/>
      <c r="CT103" s="257"/>
      <c r="CU103" s="257"/>
      <c r="CV103" s="257"/>
      <c r="CW103" s="257"/>
      <c r="CX103" s="257"/>
      <c r="CY103" s="257"/>
      <c r="CZ103" s="257"/>
      <c r="DA103" s="257"/>
      <c r="DB103" s="257"/>
      <c r="DC103" s="257"/>
      <c r="DD103" s="257"/>
      <c r="DE103" s="257"/>
      <c r="DF103" s="257"/>
      <c r="DG103" s="257"/>
      <c r="DH103" s="257"/>
      <c r="DI103" s="257"/>
      <c r="DJ103" s="257"/>
      <c r="DK103" s="257"/>
      <c r="DL103" s="257"/>
      <c r="DM103" s="257"/>
      <c r="DN103" s="257"/>
      <c r="DO103" s="257"/>
      <c r="DP103" s="257"/>
      <c r="DQ103" s="257"/>
      <c r="DR103" s="257"/>
      <c r="DS103" s="257"/>
      <c r="DT103" s="257"/>
      <c r="DU103" s="257"/>
      <c r="DV103" s="257"/>
      <c r="DW103" s="257"/>
      <c r="DX103" s="257"/>
      <c r="DY103" s="257"/>
      <c r="DZ103" s="257"/>
      <c r="EA103" s="257"/>
      <c r="EB103" s="257"/>
      <c r="EC103" s="257"/>
      <c r="ED103" s="257"/>
      <c r="EE103" s="257"/>
      <c r="EF103" s="257"/>
      <c r="EG103" s="257"/>
      <c r="EH103" s="257"/>
      <c r="EI103" s="257"/>
      <c r="EJ103" s="257"/>
      <c r="EK103" s="257"/>
      <c r="EL103" s="257"/>
      <c r="EM103" s="257"/>
      <c r="EN103" s="257"/>
      <c r="EO103" s="257"/>
      <c r="EP103" s="257"/>
      <c r="EQ103" s="257"/>
      <c r="ER103" s="257"/>
      <c r="ES103" s="257"/>
      <c r="ET103" s="257"/>
      <c r="EU103" s="257"/>
      <c r="EV103" s="257"/>
      <c r="EW103" s="257"/>
      <c r="EX103" s="257"/>
      <c r="EY103" s="257"/>
      <c r="EZ103" s="257"/>
      <c r="FA103" s="257"/>
      <c r="FB103" s="257"/>
      <c r="FC103" s="257"/>
      <c r="FD103" s="257"/>
      <c r="FE103" s="257"/>
      <c r="FF103" s="257"/>
      <c r="FG103" s="257"/>
      <c r="FH103" s="257"/>
      <c r="FI103" s="257"/>
      <c r="FJ103" s="257"/>
      <c r="FK103" s="257"/>
      <c r="FL103" s="257"/>
      <c r="FM103" s="257"/>
      <c r="FN103" s="257"/>
      <c r="FO103" s="257"/>
      <c r="FP103" s="257"/>
      <c r="FQ103" s="257"/>
      <c r="FR103" s="257"/>
      <c r="FS103" s="257"/>
      <c r="FT103" s="257"/>
      <c r="FU103" s="257"/>
      <c r="FV103" s="257"/>
      <c r="FW103" s="257"/>
      <c r="FX103" s="257"/>
      <c r="FY103" s="257"/>
      <c r="FZ103" s="257"/>
      <c r="GA103" s="257"/>
      <c r="GB103" s="257"/>
      <c r="GC103" s="257"/>
      <c r="GD103" s="257"/>
      <c r="GE103" s="257"/>
      <c r="GF103" s="257"/>
      <c r="GG103" s="257"/>
      <c r="GH103" s="257"/>
      <c r="GI103" s="257"/>
      <c r="GJ103" s="257"/>
      <c r="GK103" s="257"/>
      <c r="GL103" s="257"/>
      <c r="GM103" s="257"/>
      <c r="GN103" s="257"/>
      <c r="GO103" s="257"/>
      <c r="GP103" s="257"/>
      <c r="GQ103" s="257"/>
      <c r="GR103" s="257"/>
      <c r="GS103" s="257"/>
      <c r="GT103" s="257"/>
      <c r="GU103" s="257"/>
      <c r="GV103" s="257"/>
      <c r="GW103" s="257"/>
      <c r="GX103" s="257"/>
      <c r="GY103" s="257"/>
      <c r="GZ103" s="257"/>
      <c r="HA103" s="257"/>
      <c r="HB103" s="257"/>
      <c r="HC103" s="257"/>
      <c r="HD103" s="257"/>
      <c r="HE103" s="257"/>
      <c r="HF103" s="257"/>
      <c r="HG103" s="257"/>
      <c r="HH103" s="257"/>
      <c r="HI103" s="257"/>
      <c r="HJ103" s="257"/>
      <c r="HK103" s="257"/>
      <c r="HL103" s="257"/>
      <c r="HM103" s="257"/>
      <c r="HN103" s="257"/>
      <c r="HO103" s="257"/>
      <c r="HP103" s="257"/>
      <c r="HQ103" s="257"/>
      <c r="HR103" s="257"/>
    </row>
    <row r="104" spans="1:226" x14ac:dyDescent="0.2">
      <c r="A104" s="304">
        <v>334</v>
      </c>
      <c r="B104" s="305" t="s">
        <v>195</v>
      </c>
      <c r="C104" s="306" t="s">
        <v>189</v>
      </c>
      <c r="D104" s="280">
        <f>D73</f>
        <v>4006158</v>
      </c>
      <c r="E104" s="280">
        <f>E73</f>
        <v>4006158</v>
      </c>
      <c r="F104" s="303">
        <f>+D104-E104</f>
        <v>0</v>
      </c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7"/>
      <c r="AX104" s="257"/>
      <c r="AY104" s="257"/>
      <c r="AZ104" s="257"/>
      <c r="BA104" s="257"/>
      <c r="BB104" s="257"/>
      <c r="BC104" s="257"/>
      <c r="BD104" s="257"/>
      <c r="BE104" s="257"/>
      <c r="BF104" s="257"/>
      <c r="BG104" s="257"/>
      <c r="BH104" s="257"/>
      <c r="BI104" s="257"/>
      <c r="BJ104" s="257"/>
      <c r="BK104" s="257"/>
      <c r="BL104" s="257"/>
      <c r="BM104" s="257"/>
      <c r="BN104" s="257"/>
      <c r="BO104" s="257"/>
      <c r="BP104" s="257"/>
      <c r="BQ104" s="257"/>
      <c r="BR104" s="257"/>
      <c r="BS104" s="257"/>
      <c r="BT104" s="257"/>
      <c r="BU104" s="257"/>
      <c r="BV104" s="257"/>
      <c r="BW104" s="257"/>
      <c r="BX104" s="257"/>
      <c r="BY104" s="257"/>
      <c r="BZ104" s="257"/>
      <c r="CA104" s="257"/>
      <c r="CB104" s="257"/>
      <c r="CC104" s="257"/>
      <c r="CD104" s="257"/>
      <c r="CE104" s="257"/>
      <c r="CF104" s="257"/>
      <c r="CG104" s="257"/>
      <c r="CH104" s="257"/>
      <c r="CI104" s="257"/>
      <c r="CJ104" s="257"/>
      <c r="CK104" s="257"/>
      <c r="CL104" s="257"/>
      <c r="CM104" s="257"/>
      <c r="CN104" s="257"/>
      <c r="CO104" s="257"/>
      <c r="CP104" s="257"/>
      <c r="CQ104" s="257"/>
      <c r="CR104" s="257"/>
      <c r="CS104" s="257"/>
      <c r="CT104" s="257"/>
      <c r="CU104" s="257"/>
      <c r="CV104" s="257"/>
      <c r="CW104" s="257"/>
      <c r="CX104" s="257"/>
      <c r="CY104" s="257"/>
      <c r="CZ104" s="257"/>
      <c r="DA104" s="257"/>
      <c r="DB104" s="257"/>
      <c r="DC104" s="257"/>
      <c r="DD104" s="257"/>
      <c r="DE104" s="257"/>
      <c r="DF104" s="257"/>
      <c r="DG104" s="257"/>
      <c r="DH104" s="257"/>
      <c r="DI104" s="257"/>
      <c r="DJ104" s="257"/>
      <c r="DK104" s="257"/>
      <c r="DL104" s="257"/>
      <c r="DM104" s="257"/>
      <c r="DN104" s="257"/>
      <c r="DO104" s="257"/>
      <c r="DP104" s="257"/>
      <c r="DQ104" s="257"/>
      <c r="DR104" s="257"/>
      <c r="DS104" s="257"/>
      <c r="DT104" s="257"/>
      <c r="DU104" s="257"/>
      <c r="DV104" s="257"/>
      <c r="DW104" s="257"/>
      <c r="DX104" s="257"/>
      <c r="DY104" s="257"/>
      <c r="DZ104" s="257"/>
      <c r="EA104" s="257"/>
      <c r="EB104" s="257"/>
      <c r="EC104" s="257"/>
      <c r="ED104" s="257"/>
      <c r="EE104" s="257"/>
      <c r="EF104" s="257"/>
      <c r="EG104" s="257"/>
      <c r="EH104" s="257"/>
      <c r="EI104" s="257"/>
      <c r="EJ104" s="257"/>
      <c r="EK104" s="257"/>
      <c r="EL104" s="257"/>
      <c r="EM104" s="257"/>
      <c r="EN104" s="257"/>
      <c r="EO104" s="257"/>
      <c r="EP104" s="257"/>
      <c r="EQ104" s="257"/>
      <c r="ER104" s="257"/>
      <c r="ES104" s="257"/>
      <c r="ET104" s="257"/>
      <c r="EU104" s="257"/>
      <c r="EV104" s="257"/>
      <c r="EW104" s="257"/>
      <c r="EX104" s="257"/>
      <c r="EY104" s="257"/>
      <c r="EZ104" s="257"/>
      <c r="FA104" s="257"/>
      <c r="FB104" s="257"/>
      <c r="FC104" s="257"/>
      <c r="FD104" s="257"/>
      <c r="FE104" s="257"/>
      <c r="FF104" s="257"/>
      <c r="FG104" s="257"/>
      <c r="FH104" s="257"/>
      <c r="FI104" s="257"/>
      <c r="FJ104" s="257"/>
      <c r="FK104" s="257"/>
      <c r="FL104" s="257"/>
      <c r="FM104" s="257"/>
      <c r="FN104" s="257"/>
      <c r="FO104" s="257"/>
      <c r="FP104" s="257"/>
      <c r="FQ104" s="257"/>
      <c r="FR104" s="257"/>
      <c r="FS104" s="257"/>
      <c r="FT104" s="257"/>
      <c r="FU104" s="257"/>
      <c r="FV104" s="257"/>
      <c r="FW104" s="257"/>
      <c r="FX104" s="257"/>
      <c r="FY104" s="257"/>
      <c r="FZ104" s="257"/>
      <c r="GA104" s="257"/>
      <c r="GB104" s="257"/>
      <c r="GC104" s="257"/>
      <c r="GD104" s="257"/>
      <c r="GE104" s="257"/>
      <c r="GF104" s="257"/>
      <c r="GG104" s="257"/>
      <c r="GH104" s="257"/>
      <c r="GI104" s="257"/>
      <c r="GJ104" s="257"/>
      <c r="GK104" s="257"/>
      <c r="GL104" s="257"/>
      <c r="GM104" s="257"/>
      <c r="GN104" s="257"/>
      <c r="GO104" s="257"/>
      <c r="GP104" s="257"/>
      <c r="GQ104" s="257"/>
      <c r="GR104" s="257"/>
      <c r="GS104" s="257"/>
      <c r="GT104" s="257"/>
      <c r="GU104" s="257"/>
      <c r="GV104" s="257"/>
      <c r="GW104" s="257"/>
      <c r="GX104" s="257"/>
      <c r="GY104" s="257"/>
      <c r="GZ104" s="257"/>
      <c r="HA104" s="257"/>
      <c r="HB104" s="257"/>
      <c r="HC104" s="257"/>
      <c r="HD104" s="257"/>
      <c r="HE104" s="257"/>
      <c r="HF104" s="257"/>
      <c r="HG104" s="257"/>
      <c r="HH104" s="257"/>
      <c r="HI104" s="257"/>
      <c r="HJ104" s="257"/>
      <c r="HK104" s="257"/>
      <c r="HL104" s="257"/>
      <c r="HM104" s="257"/>
      <c r="HN104" s="257"/>
      <c r="HO104" s="257"/>
      <c r="HP104" s="257"/>
      <c r="HQ104" s="257"/>
      <c r="HR104" s="257"/>
    </row>
    <row r="105" spans="1:226" x14ac:dyDescent="0.2">
      <c r="A105" s="304">
        <v>335</v>
      </c>
      <c r="B105" s="305" t="s">
        <v>318</v>
      </c>
      <c r="C105" s="306" t="s">
        <v>321</v>
      </c>
      <c r="D105" s="280">
        <f>D83</f>
        <v>14694194</v>
      </c>
      <c r="E105" s="280">
        <f>E83</f>
        <v>14482329</v>
      </c>
      <c r="F105" s="303">
        <f>F83</f>
        <v>211865</v>
      </c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 s="257"/>
      <c r="Z105" s="257"/>
      <c r="AA105" s="257"/>
      <c r="AB105" s="257"/>
      <c r="AC105" s="257"/>
      <c r="AD105" s="257"/>
      <c r="AE105" s="257"/>
      <c r="AF105" s="257"/>
      <c r="AG105" s="257"/>
      <c r="AH105" s="257"/>
      <c r="AI105" s="257"/>
      <c r="AJ105" s="257"/>
      <c r="AK105" s="257"/>
      <c r="AL105" s="257"/>
      <c r="AM105" s="257"/>
      <c r="AN105" s="257"/>
      <c r="AO105" s="257"/>
      <c r="AP105" s="257"/>
      <c r="AQ105" s="257"/>
      <c r="AR105" s="257"/>
      <c r="AS105" s="257"/>
      <c r="AT105" s="257"/>
      <c r="AU105" s="257"/>
      <c r="AV105" s="257"/>
      <c r="AW105" s="257"/>
      <c r="AX105" s="257"/>
      <c r="AY105" s="257"/>
      <c r="AZ105" s="257"/>
      <c r="BA105" s="257"/>
      <c r="BB105" s="257"/>
      <c r="BC105" s="257"/>
      <c r="BD105" s="257"/>
      <c r="BE105" s="257"/>
      <c r="BF105" s="257"/>
      <c r="BG105" s="257"/>
      <c r="BH105" s="257"/>
      <c r="BI105" s="257"/>
      <c r="BJ105" s="257"/>
      <c r="BK105" s="257"/>
      <c r="BL105" s="257"/>
      <c r="BM105" s="257"/>
      <c r="BN105" s="257"/>
      <c r="BO105" s="257"/>
      <c r="BP105" s="257"/>
      <c r="BQ105" s="257"/>
      <c r="BR105" s="257"/>
      <c r="BS105" s="257"/>
      <c r="BT105" s="257"/>
      <c r="BU105" s="257"/>
      <c r="BV105" s="257"/>
      <c r="BW105" s="257"/>
      <c r="BX105" s="257"/>
      <c r="BY105" s="257"/>
      <c r="BZ105" s="257"/>
      <c r="CA105" s="257"/>
      <c r="CB105" s="257"/>
      <c r="CC105" s="257"/>
      <c r="CD105" s="257"/>
      <c r="CE105" s="257"/>
      <c r="CF105" s="257"/>
      <c r="CG105" s="257"/>
      <c r="CH105" s="257"/>
      <c r="CI105" s="257"/>
      <c r="CJ105" s="257"/>
      <c r="CK105" s="257"/>
      <c r="CL105" s="257"/>
      <c r="CM105" s="257"/>
      <c r="CN105" s="257"/>
      <c r="CO105" s="257"/>
      <c r="CP105" s="257"/>
      <c r="CQ105" s="257"/>
      <c r="CR105" s="257"/>
      <c r="CS105" s="257"/>
      <c r="CT105" s="257"/>
      <c r="CU105" s="257"/>
      <c r="CV105" s="257"/>
      <c r="CW105" s="257"/>
      <c r="CX105" s="257"/>
      <c r="CY105" s="257"/>
      <c r="CZ105" s="257"/>
      <c r="DA105" s="257"/>
      <c r="DB105" s="257"/>
      <c r="DC105" s="257"/>
      <c r="DD105" s="257"/>
      <c r="DE105" s="257"/>
      <c r="DF105" s="257"/>
      <c r="DG105" s="257"/>
      <c r="DH105" s="257"/>
      <c r="DI105" s="257"/>
      <c r="DJ105" s="257"/>
      <c r="DK105" s="257"/>
      <c r="DL105" s="257"/>
      <c r="DM105" s="257"/>
      <c r="DN105" s="257"/>
      <c r="DO105" s="257"/>
      <c r="DP105" s="257"/>
      <c r="DQ105" s="257"/>
      <c r="DR105" s="257"/>
      <c r="DS105" s="257"/>
      <c r="DT105" s="257"/>
      <c r="DU105" s="257"/>
      <c r="DV105" s="257"/>
      <c r="DW105" s="257"/>
      <c r="DX105" s="257"/>
      <c r="DY105" s="257"/>
      <c r="DZ105" s="257"/>
      <c r="EA105" s="257"/>
      <c r="EB105" s="257"/>
      <c r="EC105" s="257"/>
      <c r="ED105" s="257"/>
      <c r="EE105" s="257"/>
      <c r="EF105" s="257"/>
      <c r="EG105" s="257"/>
      <c r="EH105" s="257"/>
      <c r="EI105" s="257"/>
      <c r="EJ105" s="257"/>
      <c r="EK105" s="257"/>
      <c r="EL105" s="257"/>
      <c r="EM105" s="257"/>
      <c r="EN105" s="257"/>
      <c r="EO105" s="257"/>
      <c r="EP105" s="257"/>
      <c r="EQ105" s="257"/>
      <c r="ER105" s="257"/>
      <c r="ES105" s="257"/>
      <c r="ET105" s="257"/>
      <c r="EU105" s="257"/>
      <c r="EV105" s="257"/>
      <c r="EW105" s="257"/>
      <c r="EX105" s="257"/>
      <c r="EY105" s="257"/>
      <c r="EZ105" s="257"/>
      <c r="FA105" s="257"/>
      <c r="FB105" s="257"/>
      <c r="FC105" s="257"/>
      <c r="FD105" s="257"/>
      <c r="FE105" s="257"/>
      <c r="FF105" s="257"/>
      <c r="FG105" s="257"/>
      <c r="FH105" s="257"/>
      <c r="FI105" s="257"/>
      <c r="FJ105" s="257"/>
      <c r="FK105" s="257"/>
      <c r="FL105" s="257"/>
      <c r="FM105" s="257"/>
      <c r="FN105" s="257"/>
      <c r="FO105" s="257"/>
      <c r="FP105" s="257"/>
      <c r="FQ105" s="257"/>
      <c r="FR105" s="257"/>
      <c r="FS105" s="257"/>
      <c r="FT105" s="257"/>
      <c r="FU105" s="257"/>
      <c r="FV105" s="257"/>
      <c r="FW105" s="257"/>
      <c r="FX105" s="257"/>
      <c r="FY105" s="257"/>
      <c r="FZ105" s="257"/>
      <c r="GA105" s="257"/>
      <c r="GB105" s="257"/>
      <c r="GC105" s="257"/>
      <c r="GD105" s="257"/>
      <c r="GE105" s="257"/>
      <c r="GF105" s="257"/>
      <c r="GG105" s="257"/>
      <c r="GH105" s="257"/>
      <c r="GI105" s="257"/>
      <c r="GJ105" s="257"/>
      <c r="GK105" s="257"/>
      <c r="GL105" s="257"/>
      <c r="GM105" s="257"/>
      <c r="GN105" s="257"/>
      <c r="GO105" s="257"/>
      <c r="GP105" s="257"/>
      <c r="GQ105" s="257"/>
      <c r="GR105" s="257"/>
      <c r="GS105" s="257"/>
      <c r="GT105" s="257"/>
      <c r="GU105" s="257"/>
      <c r="GV105" s="257"/>
      <c r="GW105" s="257"/>
      <c r="GX105" s="257"/>
      <c r="GY105" s="257"/>
      <c r="GZ105" s="257"/>
      <c r="HA105" s="257"/>
      <c r="HB105" s="257"/>
      <c r="HC105" s="257"/>
      <c r="HD105" s="257"/>
      <c r="HE105" s="257"/>
      <c r="HF105" s="257"/>
      <c r="HG105" s="257"/>
      <c r="HH105" s="257"/>
      <c r="HI105" s="257"/>
      <c r="HJ105" s="257"/>
      <c r="HK105" s="257"/>
      <c r="HL105" s="257"/>
      <c r="HM105" s="257"/>
      <c r="HN105" s="257"/>
      <c r="HO105" s="257"/>
      <c r="HP105" s="257"/>
      <c r="HQ105" s="257"/>
      <c r="HR105" s="257"/>
    </row>
    <row r="106" spans="1:226" ht="13.5" thickBot="1" x14ac:dyDescent="0.25">
      <c r="A106" s="304">
        <v>398</v>
      </c>
      <c r="B106" s="305" t="s">
        <v>150</v>
      </c>
      <c r="C106" s="306" t="s">
        <v>239</v>
      </c>
      <c r="D106" s="280">
        <f>D93</f>
        <v>14738536.970000001</v>
      </c>
      <c r="E106" s="280">
        <f>E93</f>
        <v>13957856.350000001</v>
      </c>
      <c r="F106" s="303">
        <f>F93</f>
        <v>780680.62</v>
      </c>
      <c r="G106" s="257"/>
      <c r="H106" s="257"/>
      <c r="I106" s="257"/>
      <c r="J106" s="257"/>
      <c r="K106" s="257"/>
      <c r="L106" s="257"/>
      <c r="M106" s="257"/>
      <c r="N106" s="257"/>
      <c r="O106" s="257"/>
      <c r="P106" s="257"/>
      <c r="Q106" s="257"/>
      <c r="R106" s="257"/>
      <c r="S106" s="257"/>
      <c r="T106" s="257"/>
      <c r="U106" s="257"/>
      <c r="V106" s="257"/>
      <c r="W106" s="257"/>
      <c r="X106" s="257"/>
      <c r="Y106" s="257"/>
      <c r="Z106" s="257"/>
      <c r="AA106" s="257"/>
      <c r="AB106" s="257"/>
      <c r="AC106" s="257"/>
      <c r="AD106" s="257"/>
      <c r="AE106" s="257"/>
      <c r="AF106" s="257"/>
      <c r="AG106" s="257"/>
      <c r="AH106" s="257"/>
      <c r="AI106" s="257"/>
      <c r="AJ106" s="257"/>
      <c r="AK106" s="257"/>
      <c r="AL106" s="257"/>
      <c r="AM106" s="257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7"/>
      <c r="AY106" s="257"/>
      <c r="AZ106" s="257"/>
      <c r="BA106" s="257"/>
      <c r="BB106" s="257"/>
      <c r="BC106" s="257"/>
      <c r="BD106" s="257"/>
      <c r="BE106" s="257"/>
      <c r="BF106" s="257"/>
      <c r="BG106" s="257"/>
      <c r="BH106" s="257"/>
      <c r="BI106" s="257"/>
      <c r="BJ106" s="257"/>
      <c r="BK106" s="257"/>
      <c r="BL106" s="257"/>
      <c r="BM106" s="257"/>
      <c r="BN106" s="257"/>
      <c r="BO106" s="257"/>
      <c r="BP106" s="257"/>
      <c r="BQ106" s="257"/>
      <c r="BR106" s="257"/>
      <c r="BS106" s="257"/>
      <c r="BT106" s="257"/>
      <c r="BU106" s="257"/>
      <c r="BV106" s="257"/>
      <c r="BW106" s="257"/>
      <c r="BX106" s="257"/>
      <c r="BY106" s="257"/>
      <c r="BZ106" s="257"/>
      <c r="CA106" s="257"/>
      <c r="CB106" s="257"/>
      <c r="CC106" s="257"/>
      <c r="CD106" s="257"/>
      <c r="CE106" s="257"/>
      <c r="CF106" s="257"/>
      <c r="CG106" s="257"/>
      <c r="CH106" s="257"/>
      <c r="CI106" s="257"/>
      <c r="CJ106" s="257"/>
      <c r="CK106" s="257"/>
      <c r="CL106" s="257"/>
      <c r="CM106" s="257"/>
      <c r="CN106" s="257"/>
      <c r="CO106" s="257"/>
      <c r="CP106" s="257"/>
      <c r="CQ106" s="257"/>
      <c r="CR106" s="257"/>
      <c r="CS106" s="257"/>
      <c r="CT106" s="257"/>
      <c r="CU106" s="257"/>
      <c r="CV106" s="257"/>
      <c r="CW106" s="257"/>
      <c r="CX106" s="257"/>
      <c r="CY106" s="257"/>
      <c r="CZ106" s="257"/>
      <c r="DA106" s="257"/>
      <c r="DB106" s="257"/>
      <c r="DC106" s="257"/>
      <c r="DD106" s="257"/>
      <c r="DE106" s="257"/>
      <c r="DF106" s="257"/>
      <c r="DG106" s="257"/>
      <c r="DH106" s="257"/>
      <c r="DI106" s="257"/>
      <c r="DJ106" s="257"/>
      <c r="DK106" s="257"/>
      <c r="DL106" s="257"/>
      <c r="DM106" s="257"/>
      <c r="DN106" s="257"/>
      <c r="DO106" s="257"/>
      <c r="DP106" s="257"/>
      <c r="DQ106" s="257"/>
      <c r="DR106" s="257"/>
      <c r="DS106" s="257"/>
      <c r="DT106" s="257"/>
      <c r="DU106" s="257"/>
      <c r="DV106" s="257"/>
      <c r="DW106" s="257"/>
      <c r="DX106" s="257"/>
      <c r="DY106" s="257"/>
      <c r="DZ106" s="257"/>
      <c r="EA106" s="257"/>
      <c r="EB106" s="257"/>
      <c r="EC106" s="257"/>
      <c r="ED106" s="257"/>
      <c r="EE106" s="257"/>
      <c r="EF106" s="257"/>
      <c r="EG106" s="257"/>
      <c r="EH106" s="257"/>
      <c r="EI106" s="257"/>
      <c r="EJ106" s="257"/>
      <c r="EK106" s="257"/>
      <c r="EL106" s="257"/>
      <c r="EM106" s="257"/>
      <c r="EN106" s="257"/>
      <c r="EO106" s="257"/>
      <c r="EP106" s="257"/>
      <c r="EQ106" s="257"/>
      <c r="ER106" s="257"/>
      <c r="ES106" s="257"/>
      <c r="ET106" s="257"/>
      <c r="EU106" s="257"/>
      <c r="EV106" s="257"/>
      <c r="EW106" s="257"/>
      <c r="EX106" s="257"/>
      <c r="EY106" s="257"/>
      <c r="EZ106" s="257"/>
      <c r="FA106" s="257"/>
      <c r="FB106" s="257"/>
      <c r="FC106" s="257"/>
      <c r="FD106" s="257"/>
      <c r="FE106" s="257"/>
      <c r="FF106" s="257"/>
      <c r="FG106" s="257"/>
      <c r="FH106" s="257"/>
      <c r="FI106" s="257"/>
      <c r="FJ106" s="257"/>
      <c r="FK106" s="257"/>
      <c r="FL106" s="257"/>
      <c r="FM106" s="257"/>
      <c r="FN106" s="257"/>
      <c r="FO106" s="257"/>
      <c r="FP106" s="257"/>
      <c r="FQ106" s="257"/>
      <c r="FR106" s="257"/>
      <c r="FS106" s="257"/>
      <c r="FT106" s="257"/>
      <c r="FU106" s="257"/>
      <c r="FV106" s="257"/>
      <c r="FW106" s="257"/>
      <c r="FX106" s="257"/>
      <c r="FY106" s="257"/>
      <c r="FZ106" s="257"/>
      <c r="GA106" s="257"/>
      <c r="GB106" s="257"/>
      <c r="GC106" s="257"/>
      <c r="GD106" s="257"/>
      <c r="GE106" s="257"/>
      <c r="GF106" s="257"/>
      <c r="GG106" s="257"/>
      <c r="GH106" s="257"/>
      <c r="GI106" s="257"/>
      <c r="GJ106" s="257"/>
      <c r="GK106" s="257"/>
      <c r="GL106" s="257"/>
      <c r="GM106" s="257"/>
      <c r="GN106" s="257"/>
      <c r="GO106" s="257"/>
      <c r="GP106" s="257"/>
      <c r="GQ106" s="257"/>
      <c r="GR106" s="257"/>
      <c r="GS106" s="257"/>
      <c r="GT106" s="257"/>
      <c r="GU106" s="257"/>
      <c r="GV106" s="257"/>
      <c r="GW106" s="257"/>
      <c r="GX106" s="257"/>
      <c r="GY106" s="257"/>
      <c r="GZ106" s="257"/>
      <c r="HA106" s="257"/>
      <c r="HB106" s="257"/>
      <c r="HC106" s="257"/>
      <c r="HD106" s="257"/>
      <c r="HE106" s="257"/>
      <c r="HF106" s="257"/>
      <c r="HG106" s="257"/>
      <c r="HH106" s="257"/>
      <c r="HI106" s="257"/>
      <c r="HJ106" s="257"/>
      <c r="HK106" s="257"/>
      <c r="HL106" s="257"/>
      <c r="HM106" s="257"/>
      <c r="HN106" s="257"/>
      <c r="HO106" s="257"/>
      <c r="HP106" s="257"/>
      <c r="HQ106" s="257"/>
      <c r="HR106" s="257"/>
    </row>
    <row r="107" spans="1:226" ht="13.5" thickBot="1" x14ac:dyDescent="0.25">
      <c r="A107" s="297" t="s">
        <v>75</v>
      </c>
      <c r="B107" s="298" t="s">
        <v>258</v>
      </c>
      <c r="C107" s="311" t="s">
        <v>614</v>
      </c>
      <c r="D107" s="312">
        <f>SUM(D98:D106)</f>
        <v>8503247083.9700003</v>
      </c>
      <c r="E107" s="313">
        <f>SUM(E98:E106)</f>
        <v>8462808989.9800005</v>
      </c>
      <c r="F107" s="314">
        <f>SUM(F98:F106)</f>
        <v>40438093.990000002</v>
      </c>
      <c r="G107" s="257"/>
      <c r="H107" s="257"/>
      <c r="I107" s="257"/>
      <c r="J107" s="257"/>
      <c r="K107" s="257"/>
      <c r="L107" s="257"/>
      <c r="M107" s="257"/>
      <c r="N107" s="257"/>
      <c r="O107" s="257"/>
      <c r="P107" s="257"/>
      <c r="Q107" s="257"/>
      <c r="R107" s="257"/>
      <c r="S107" s="257"/>
      <c r="T107" s="257"/>
      <c r="U107" s="257"/>
      <c r="V107" s="257"/>
      <c r="W107" s="257"/>
      <c r="X107" s="257"/>
      <c r="Y107" s="257"/>
      <c r="Z107" s="257"/>
      <c r="AA107" s="257"/>
      <c r="AB107" s="257"/>
      <c r="AC107" s="257"/>
      <c r="AD107" s="257"/>
      <c r="AE107" s="257"/>
      <c r="AF107" s="257"/>
      <c r="AG107" s="257"/>
      <c r="AH107" s="257"/>
      <c r="AI107" s="257"/>
      <c r="AJ107" s="257"/>
      <c r="AK107" s="257"/>
      <c r="AL107" s="257"/>
      <c r="AM107" s="257"/>
      <c r="AN107" s="257"/>
      <c r="AO107" s="257"/>
      <c r="AP107" s="257"/>
      <c r="AQ107" s="257"/>
      <c r="AR107" s="257"/>
      <c r="AS107" s="257"/>
      <c r="AT107" s="257"/>
      <c r="AU107" s="257"/>
      <c r="AV107" s="257"/>
      <c r="AW107" s="257"/>
      <c r="AX107" s="257"/>
      <c r="AY107" s="257"/>
      <c r="AZ107" s="257"/>
      <c r="BA107" s="257"/>
      <c r="BB107" s="257"/>
      <c r="BC107" s="257"/>
      <c r="BD107" s="257"/>
      <c r="BE107" s="257"/>
      <c r="BF107" s="257"/>
      <c r="BG107" s="257"/>
      <c r="BH107" s="257"/>
      <c r="BI107" s="257"/>
      <c r="BJ107" s="257"/>
      <c r="BK107" s="257"/>
      <c r="BL107" s="257"/>
      <c r="BM107" s="257"/>
      <c r="BN107" s="257"/>
      <c r="BO107" s="257"/>
      <c r="BP107" s="257"/>
      <c r="BQ107" s="257"/>
      <c r="BR107" s="257"/>
      <c r="BS107" s="257"/>
      <c r="BT107" s="257"/>
      <c r="BU107" s="257"/>
      <c r="BV107" s="257"/>
      <c r="BW107" s="257"/>
      <c r="BX107" s="257"/>
      <c r="BY107" s="257"/>
      <c r="BZ107" s="257"/>
      <c r="CA107" s="257"/>
      <c r="CB107" s="257"/>
      <c r="CC107" s="257"/>
      <c r="CD107" s="257"/>
      <c r="CE107" s="257"/>
      <c r="CF107" s="257"/>
      <c r="CG107" s="257"/>
      <c r="CH107" s="257"/>
      <c r="CI107" s="257"/>
      <c r="CJ107" s="257"/>
      <c r="CK107" s="257"/>
      <c r="CL107" s="257"/>
      <c r="CM107" s="257"/>
      <c r="CN107" s="257"/>
      <c r="CO107" s="257"/>
      <c r="CP107" s="257"/>
      <c r="CQ107" s="257"/>
      <c r="CR107" s="257"/>
      <c r="CS107" s="257"/>
      <c r="CT107" s="257"/>
      <c r="CU107" s="257"/>
      <c r="CV107" s="257"/>
      <c r="CW107" s="257"/>
      <c r="CX107" s="257"/>
      <c r="CY107" s="257"/>
      <c r="CZ107" s="257"/>
      <c r="DA107" s="257"/>
      <c r="DB107" s="257"/>
      <c r="DC107" s="257"/>
      <c r="DD107" s="257"/>
      <c r="DE107" s="257"/>
      <c r="DF107" s="257"/>
      <c r="DG107" s="257"/>
      <c r="DH107" s="257"/>
      <c r="DI107" s="257"/>
      <c r="DJ107" s="257"/>
      <c r="DK107" s="257"/>
      <c r="DL107" s="257"/>
      <c r="DM107" s="257"/>
      <c r="DN107" s="257"/>
      <c r="DO107" s="257"/>
      <c r="DP107" s="257"/>
      <c r="DQ107" s="257"/>
      <c r="DR107" s="257"/>
      <c r="DS107" s="257"/>
      <c r="DT107" s="257"/>
      <c r="DU107" s="257"/>
      <c r="DV107" s="257"/>
      <c r="DW107" s="257"/>
      <c r="DX107" s="257"/>
      <c r="DY107" s="257"/>
      <c r="DZ107" s="257"/>
      <c r="EA107" s="257"/>
      <c r="EB107" s="257"/>
      <c r="EC107" s="257"/>
      <c r="ED107" s="257"/>
      <c r="EE107" s="257"/>
      <c r="EF107" s="257"/>
      <c r="EG107" s="257"/>
      <c r="EH107" s="257"/>
      <c r="EI107" s="257"/>
      <c r="EJ107" s="257"/>
      <c r="EK107" s="257"/>
      <c r="EL107" s="257"/>
      <c r="EM107" s="257"/>
      <c r="EN107" s="257"/>
      <c r="EO107" s="257"/>
      <c r="EP107" s="257"/>
      <c r="EQ107" s="257"/>
      <c r="ER107" s="257"/>
      <c r="ES107" s="257"/>
      <c r="ET107" s="257"/>
      <c r="EU107" s="257"/>
      <c r="EV107" s="257"/>
      <c r="EW107" s="257"/>
      <c r="EX107" s="257"/>
      <c r="EY107" s="257"/>
      <c r="EZ107" s="257"/>
      <c r="FA107" s="257"/>
      <c r="FB107" s="257"/>
      <c r="FC107" s="257"/>
      <c r="FD107" s="257"/>
      <c r="FE107" s="257"/>
      <c r="FF107" s="257"/>
      <c r="FG107" s="257"/>
      <c r="FH107" s="257"/>
      <c r="FI107" s="257"/>
      <c r="FJ107" s="257"/>
      <c r="FK107" s="257"/>
      <c r="FL107" s="257"/>
      <c r="FM107" s="257"/>
      <c r="FN107" s="257"/>
      <c r="FO107" s="257"/>
      <c r="FP107" s="257"/>
      <c r="FQ107" s="257"/>
      <c r="FR107" s="257"/>
      <c r="FS107" s="257"/>
      <c r="FT107" s="257"/>
      <c r="FU107" s="257"/>
      <c r="FV107" s="257"/>
      <c r="FW107" s="257"/>
      <c r="FX107" s="257"/>
      <c r="FY107" s="257"/>
      <c r="FZ107" s="257"/>
      <c r="GA107" s="257"/>
      <c r="GB107" s="257"/>
      <c r="GC107" s="257"/>
      <c r="GD107" s="257"/>
      <c r="GE107" s="257"/>
      <c r="GF107" s="257"/>
      <c r="GG107" s="257"/>
      <c r="GH107" s="257"/>
      <c r="GI107" s="257"/>
      <c r="GJ107" s="257"/>
      <c r="GK107" s="257"/>
      <c r="GL107" s="257"/>
      <c r="GM107" s="257"/>
      <c r="GN107" s="257"/>
      <c r="GO107" s="257"/>
      <c r="GP107" s="257"/>
      <c r="GQ107" s="257"/>
      <c r="GR107" s="257"/>
      <c r="GS107" s="257"/>
      <c r="GT107" s="257"/>
      <c r="GU107" s="257"/>
      <c r="GV107" s="257"/>
      <c r="GW107" s="257"/>
      <c r="GX107" s="257"/>
      <c r="GY107" s="257"/>
      <c r="GZ107" s="257"/>
      <c r="HA107" s="257"/>
      <c r="HB107" s="257"/>
      <c r="HC107" s="257"/>
      <c r="HD107" s="257"/>
      <c r="HE107" s="257"/>
      <c r="HF107" s="257"/>
      <c r="HG107" s="257"/>
      <c r="HH107" s="257"/>
      <c r="HI107" s="257"/>
      <c r="HJ107" s="257"/>
      <c r="HK107" s="257"/>
      <c r="HL107" s="257"/>
      <c r="HM107" s="257"/>
      <c r="HN107" s="257"/>
      <c r="HO107" s="257"/>
      <c r="HP107" s="257"/>
      <c r="HQ107" s="257"/>
      <c r="HR107" s="257"/>
    </row>
    <row r="108" spans="1:226" x14ac:dyDescent="0.2">
      <c r="A108" s="315"/>
      <c r="B108" s="315"/>
      <c r="C108" s="319"/>
      <c r="D108" s="320"/>
      <c r="E108" s="320"/>
      <c r="F108" s="320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  <c r="AB108" s="257"/>
      <c r="AC108" s="257"/>
      <c r="AD108" s="257"/>
      <c r="AE108" s="257"/>
      <c r="AF108" s="257"/>
      <c r="AG108" s="257"/>
      <c r="AH108" s="257"/>
      <c r="AI108" s="257"/>
      <c r="AJ108" s="257"/>
      <c r="AK108" s="257"/>
      <c r="AL108" s="257"/>
      <c r="AM108" s="257"/>
      <c r="AN108" s="257"/>
      <c r="AO108" s="257"/>
      <c r="AP108" s="257"/>
      <c r="AQ108" s="257"/>
      <c r="AR108" s="257"/>
      <c r="AS108" s="257"/>
      <c r="AT108" s="257"/>
      <c r="AU108" s="257"/>
      <c r="AV108" s="257"/>
      <c r="AW108" s="257"/>
      <c r="AX108" s="257"/>
      <c r="AY108" s="257"/>
      <c r="AZ108" s="257"/>
      <c r="BA108" s="257"/>
      <c r="BB108" s="257"/>
      <c r="BC108" s="257"/>
      <c r="BD108" s="257"/>
      <c r="BE108" s="257"/>
      <c r="BF108" s="257"/>
      <c r="BG108" s="257"/>
      <c r="BH108" s="257"/>
      <c r="BI108" s="257"/>
      <c r="BJ108" s="257"/>
      <c r="BK108" s="257"/>
      <c r="BL108" s="257"/>
      <c r="BM108" s="257"/>
      <c r="BN108" s="257"/>
      <c r="BO108" s="257"/>
      <c r="BP108" s="257"/>
      <c r="BQ108" s="257"/>
      <c r="BR108" s="257"/>
      <c r="BS108" s="257"/>
      <c r="BT108" s="257"/>
      <c r="BU108" s="257"/>
      <c r="BV108" s="257"/>
      <c r="BW108" s="257"/>
      <c r="BX108" s="257"/>
      <c r="BY108" s="257"/>
      <c r="BZ108" s="257"/>
      <c r="CA108" s="257"/>
      <c r="CB108" s="257"/>
      <c r="CC108" s="257"/>
      <c r="CD108" s="257"/>
      <c r="CE108" s="257"/>
      <c r="CF108" s="257"/>
      <c r="CG108" s="257"/>
      <c r="CH108" s="257"/>
      <c r="CI108" s="257"/>
      <c r="CJ108" s="257"/>
      <c r="CK108" s="257"/>
      <c r="CL108" s="257"/>
      <c r="CM108" s="257"/>
      <c r="CN108" s="257"/>
      <c r="CO108" s="257"/>
      <c r="CP108" s="257"/>
      <c r="CQ108" s="257"/>
      <c r="CR108" s="257"/>
      <c r="CS108" s="257"/>
      <c r="CT108" s="257"/>
      <c r="CU108" s="257"/>
      <c r="CV108" s="257"/>
      <c r="CW108" s="257"/>
      <c r="CX108" s="257"/>
      <c r="CY108" s="257"/>
      <c r="CZ108" s="257"/>
      <c r="DA108" s="257"/>
      <c r="DB108" s="257"/>
      <c r="DC108" s="257"/>
      <c r="DD108" s="257"/>
      <c r="DE108" s="257"/>
      <c r="DF108" s="257"/>
      <c r="DG108" s="257"/>
      <c r="DH108" s="257"/>
      <c r="DI108" s="257"/>
      <c r="DJ108" s="257"/>
      <c r="DK108" s="257"/>
      <c r="DL108" s="257"/>
      <c r="DM108" s="257"/>
      <c r="DN108" s="257"/>
      <c r="DO108" s="257"/>
      <c r="DP108" s="257"/>
      <c r="DQ108" s="257"/>
      <c r="DR108" s="257"/>
      <c r="DS108" s="257"/>
      <c r="DT108" s="257"/>
      <c r="DU108" s="257"/>
      <c r="DV108" s="257"/>
      <c r="DW108" s="257"/>
      <c r="DX108" s="257"/>
      <c r="DY108" s="257"/>
      <c r="DZ108" s="257"/>
      <c r="EA108" s="257"/>
      <c r="EB108" s="257"/>
      <c r="EC108" s="257"/>
      <c r="ED108" s="257"/>
      <c r="EE108" s="257"/>
      <c r="EF108" s="257"/>
      <c r="EG108" s="257"/>
      <c r="EH108" s="257"/>
      <c r="EI108" s="257"/>
      <c r="EJ108" s="257"/>
      <c r="EK108" s="257"/>
      <c r="EL108" s="257"/>
      <c r="EM108" s="257"/>
      <c r="EN108" s="257"/>
      <c r="EO108" s="257"/>
      <c r="EP108" s="257"/>
      <c r="EQ108" s="257"/>
      <c r="ER108" s="257"/>
      <c r="ES108" s="257"/>
      <c r="ET108" s="257"/>
      <c r="EU108" s="257"/>
      <c r="EV108" s="257"/>
      <c r="EW108" s="257"/>
      <c r="EX108" s="257"/>
      <c r="EY108" s="257"/>
      <c r="EZ108" s="257"/>
      <c r="FA108" s="257"/>
      <c r="FB108" s="257"/>
      <c r="FC108" s="257"/>
      <c r="FD108" s="257"/>
      <c r="FE108" s="257"/>
      <c r="FF108" s="257"/>
      <c r="FG108" s="257"/>
      <c r="FH108" s="257"/>
      <c r="FI108" s="257"/>
      <c r="FJ108" s="257"/>
      <c r="FK108" s="257"/>
      <c r="FL108" s="257"/>
      <c r="FM108" s="257"/>
      <c r="FN108" s="257"/>
      <c r="FO108" s="257"/>
      <c r="FP108" s="257"/>
      <c r="FQ108" s="257"/>
      <c r="FR108" s="257"/>
      <c r="FS108" s="257"/>
      <c r="FT108" s="257"/>
      <c r="FU108" s="257"/>
      <c r="FV108" s="257"/>
      <c r="FW108" s="257"/>
      <c r="FX108" s="257"/>
      <c r="FY108" s="257"/>
      <c r="FZ108" s="257"/>
      <c r="GA108" s="257"/>
      <c r="GB108" s="257"/>
      <c r="GC108" s="257"/>
      <c r="GD108" s="257"/>
      <c r="GE108" s="257"/>
      <c r="GF108" s="257"/>
      <c r="GG108" s="257"/>
      <c r="GH108" s="257"/>
      <c r="GI108" s="257"/>
      <c r="GJ108" s="257"/>
      <c r="GK108" s="257"/>
      <c r="GL108" s="257"/>
      <c r="GM108" s="257"/>
      <c r="GN108" s="257"/>
      <c r="GO108" s="257"/>
      <c r="GP108" s="257"/>
      <c r="GQ108" s="257"/>
      <c r="GR108" s="257"/>
      <c r="GS108" s="257"/>
      <c r="GT108" s="257"/>
      <c r="GU108" s="257"/>
      <c r="GV108" s="257"/>
      <c r="GW108" s="257"/>
      <c r="GX108" s="257"/>
      <c r="GY108" s="257"/>
      <c r="GZ108" s="257"/>
      <c r="HA108" s="257"/>
      <c r="HB108" s="257"/>
      <c r="HC108" s="257"/>
      <c r="HD108" s="257"/>
      <c r="HE108" s="257"/>
      <c r="HF108" s="257"/>
      <c r="HG108" s="257"/>
      <c r="HH108" s="257"/>
      <c r="HI108" s="257"/>
      <c r="HJ108" s="257"/>
      <c r="HK108" s="257"/>
      <c r="HL108" s="257"/>
      <c r="HM108" s="257"/>
      <c r="HN108" s="257"/>
      <c r="HO108" s="257"/>
      <c r="HP108" s="257"/>
      <c r="HQ108" s="257"/>
      <c r="HR108" s="257"/>
    </row>
    <row r="109" spans="1:226" x14ac:dyDescent="0.2">
      <c r="D109" s="456"/>
    </row>
  </sheetData>
  <mergeCells count="24">
    <mergeCell ref="A26:F26"/>
    <mergeCell ref="B17:C17"/>
    <mergeCell ref="E1:F1"/>
    <mergeCell ref="A2:F2"/>
    <mergeCell ref="A4:F4"/>
    <mergeCell ref="B8:C8"/>
    <mergeCell ref="A10:F10"/>
    <mergeCell ref="A19:F19"/>
    <mergeCell ref="B83:C83"/>
    <mergeCell ref="A85:F85"/>
    <mergeCell ref="B93:C93"/>
    <mergeCell ref="A95:F95"/>
    <mergeCell ref="B24:C24"/>
    <mergeCell ref="A33:F33"/>
    <mergeCell ref="B37:C37"/>
    <mergeCell ref="A39:F39"/>
    <mergeCell ref="B49:C49"/>
    <mergeCell ref="A50:F51"/>
    <mergeCell ref="A61:F61"/>
    <mergeCell ref="B73:C73"/>
    <mergeCell ref="E58:F58"/>
    <mergeCell ref="A59:F59"/>
    <mergeCell ref="A75:F75"/>
    <mergeCell ref="B31:C31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8CDE-D2E1-4B14-8CD0-12F9A68DD9A8}">
  <sheetPr>
    <tabColor theme="6" tint="0.59999389629810485"/>
  </sheetPr>
  <dimension ref="A1:N157"/>
  <sheetViews>
    <sheetView topLeftCell="A40" zoomScaleNormal="100" workbookViewId="0">
      <selection activeCell="I99" sqref="I99"/>
    </sheetView>
  </sheetViews>
  <sheetFormatPr defaultColWidth="4.7109375" defaultRowHeight="12.75" x14ac:dyDescent="0.2"/>
  <cols>
    <col min="1" max="1" width="4.7109375" style="879" customWidth="1"/>
    <col min="2" max="2" width="7.42578125" style="879" customWidth="1"/>
    <col min="3" max="3" width="37" style="879" customWidth="1"/>
    <col min="4" max="4" width="14.7109375" style="879" customWidth="1"/>
    <col min="5" max="5" width="11.28515625" style="879" customWidth="1"/>
    <col min="6" max="6" width="9.28515625" style="879" customWidth="1"/>
    <col min="7" max="7" width="9.140625" style="879" customWidth="1"/>
    <col min="8" max="8" width="17.7109375" style="879" bestFit="1" customWidth="1"/>
    <col min="9" max="9" width="24.85546875" style="879" customWidth="1"/>
    <col min="10" max="10" width="13.42578125" style="879" bestFit="1" customWidth="1"/>
    <col min="11" max="11" width="12.85546875" style="879" bestFit="1" customWidth="1"/>
    <col min="12" max="12" width="9.140625" style="879" customWidth="1"/>
    <col min="13" max="13" width="11.140625" style="879" bestFit="1" customWidth="1"/>
    <col min="14" max="14" width="11" style="879" bestFit="1" customWidth="1"/>
    <col min="15" max="255" width="9.140625" style="879" customWidth="1"/>
    <col min="256" max="16384" width="4.7109375" style="879"/>
  </cols>
  <sheetData>
    <row r="1" spans="1:14" x14ac:dyDescent="0.2">
      <c r="E1" s="1938" t="s">
        <v>559</v>
      </c>
      <c r="F1" s="1938"/>
    </row>
    <row r="2" spans="1:14" ht="66" customHeight="1" x14ac:dyDescent="0.2">
      <c r="A2" s="1939" t="s">
        <v>1668</v>
      </c>
      <c r="B2" s="1939"/>
      <c r="C2" s="1939"/>
      <c r="D2" s="1939"/>
      <c r="E2" s="1939"/>
      <c r="F2" s="1939"/>
    </row>
    <row r="3" spans="1:14" ht="12.75" customHeight="1" x14ac:dyDescent="0.25">
      <c r="A3" s="1325"/>
      <c r="B3" s="1325"/>
      <c r="C3" s="1325"/>
      <c r="D3" s="1325"/>
      <c r="E3" s="1325"/>
      <c r="F3" s="1325"/>
      <c r="H3" s="1661"/>
    </row>
    <row r="4" spans="1:14" x14ac:dyDescent="0.2">
      <c r="A4" s="1937" t="s">
        <v>590</v>
      </c>
      <c r="B4" s="1937"/>
      <c r="C4" s="1937"/>
      <c r="D4" s="1937"/>
      <c r="E4" s="1937"/>
      <c r="F4" s="1937"/>
    </row>
    <row r="5" spans="1:14" ht="13.5" thickBot="1" x14ac:dyDescent="0.25">
      <c r="A5" s="1662"/>
      <c r="B5" s="1662"/>
      <c r="C5" s="1662"/>
      <c r="D5" s="1662"/>
      <c r="E5" s="1662"/>
      <c r="F5" s="1662"/>
    </row>
    <row r="6" spans="1:14" ht="13.5" thickBot="1" x14ac:dyDescent="0.25">
      <c r="A6" s="1663" t="s">
        <v>581</v>
      </c>
      <c r="B6" s="1664" t="s">
        <v>582</v>
      </c>
      <c r="C6" s="1665" t="s">
        <v>583</v>
      </c>
      <c r="D6" s="1664" t="s">
        <v>584</v>
      </c>
      <c r="E6" s="1940" t="s">
        <v>617</v>
      </c>
      <c r="F6" s="1941"/>
      <c r="M6" s="1666"/>
    </row>
    <row r="7" spans="1:14" x14ac:dyDescent="0.2">
      <c r="A7" s="1667">
        <v>1</v>
      </c>
      <c r="B7" s="1668">
        <v>13013</v>
      </c>
      <c r="C7" s="1669" t="s">
        <v>618</v>
      </c>
      <c r="D7" s="1670">
        <v>370633.99</v>
      </c>
      <c r="E7" s="1942"/>
      <c r="F7" s="1943"/>
      <c r="H7" s="1671"/>
      <c r="I7" s="1672"/>
      <c r="J7" s="1673"/>
      <c r="M7" s="1666"/>
    </row>
    <row r="8" spans="1:14" x14ac:dyDescent="0.2">
      <c r="A8" s="1667">
        <v>2</v>
      </c>
      <c r="B8" s="1668">
        <v>13013</v>
      </c>
      <c r="C8" s="1669" t="s">
        <v>619</v>
      </c>
      <c r="D8" s="1670">
        <v>2885507.92</v>
      </c>
      <c r="E8" s="1942"/>
      <c r="F8" s="1943"/>
      <c r="H8" s="1671"/>
      <c r="I8" s="1672"/>
      <c r="J8" s="1673"/>
      <c r="M8" s="1674"/>
      <c r="N8" s="1675"/>
    </row>
    <row r="9" spans="1:14" x14ac:dyDescent="0.2">
      <c r="A9" s="1667">
        <v>3</v>
      </c>
      <c r="B9" s="1668">
        <v>13014</v>
      </c>
      <c r="C9" s="1669" t="s">
        <v>620</v>
      </c>
      <c r="D9" s="1670">
        <v>404894.94</v>
      </c>
      <c r="E9" s="1942"/>
      <c r="F9" s="1943"/>
      <c r="H9" s="1671"/>
      <c r="I9" s="1672"/>
      <c r="J9" s="1673"/>
      <c r="M9" s="1666"/>
    </row>
    <row r="10" spans="1:14" ht="13.5" thickBot="1" x14ac:dyDescent="0.25">
      <c r="A10" s="1667">
        <v>4</v>
      </c>
      <c r="B10" s="1668">
        <v>13014</v>
      </c>
      <c r="C10" s="1669" t="s">
        <v>621</v>
      </c>
      <c r="D10" s="1670">
        <v>2294404.63</v>
      </c>
      <c r="E10" s="1942"/>
      <c r="F10" s="1943"/>
      <c r="H10" s="1671"/>
      <c r="I10" s="1672"/>
      <c r="J10" s="1673"/>
      <c r="M10" s="1666"/>
    </row>
    <row r="11" spans="1:14" ht="13.5" thickBot="1" x14ac:dyDescent="0.25">
      <c r="A11" s="1676">
        <v>313</v>
      </c>
      <c r="B11" s="1946" t="s">
        <v>593</v>
      </c>
      <c r="C11" s="1947"/>
      <c r="D11" s="1677">
        <f>SUM(D7:D10)</f>
        <v>5955441.4800000004</v>
      </c>
      <c r="E11" s="1944"/>
      <c r="F11" s="1945"/>
      <c r="M11" s="1678"/>
    </row>
    <row r="12" spans="1:14" x14ac:dyDescent="0.2">
      <c r="A12" s="1679"/>
      <c r="B12" s="1680"/>
      <c r="C12" s="1680"/>
      <c r="D12" s="956"/>
      <c r="E12" s="956"/>
      <c r="F12" s="956"/>
      <c r="M12" s="1678"/>
    </row>
    <row r="13" spans="1:14" x14ac:dyDescent="0.2">
      <c r="A13" s="1937" t="s">
        <v>622</v>
      </c>
      <c r="B13" s="1937"/>
      <c r="C13" s="1937"/>
      <c r="D13" s="1937"/>
      <c r="E13" s="1937"/>
      <c r="F13" s="1937"/>
    </row>
    <row r="14" spans="1:14" ht="13.5" thickBot="1" x14ac:dyDescent="0.25">
      <c r="A14" s="1662"/>
      <c r="B14" s="1662"/>
      <c r="C14" s="1662"/>
      <c r="D14" s="1662"/>
      <c r="E14" s="1662"/>
      <c r="F14" s="1662"/>
    </row>
    <row r="15" spans="1:14" ht="13.5" thickBot="1" x14ac:dyDescent="0.25">
      <c r="A15" s="1676" t="s">
        <v>581</v>
      </c>
      <c r="B15" s="1681" t="s">
        <v>582</v>
      </c>
      <c r="C15" s="1682" t="s">
        <v>583</v>
      </c>
      <c r="D15" s="1681" t="s">
        <v>584</v>
      </c>
      <c r="E15" s="1940" t="s">
        <v>617</v>
      </c>
      <c r="F15" s="1941"/>
    </row>
    <row r="16" spans="1:14" x14ac:dyDescent="0.2">
      <c r="A16" s="1683">
        <v>1</v>
      </c>
      <c r="B16" s="1684">
        <v>15011</v>
      </c>
      <c r="C16" s="1685" t="s">
        <v>623</v>
      </c>
      <c r="D16" s="1686">
        <v>4881467.18</v>
      </c>
      <c r="E16" s="1942"/>
      <c r="F16" s="1943"/>
    </row>
    <row r="17" spans="1:11" x14ac:dyDescent="0.2">
      <c r="A17" s="1687">
        <v>2</v>
      </c>
      <c r="B17" s="1688">
        <v>15972</v>
      </c>
      <c r="C17" s="1689" t="s">
        <v>783</v>
      </c>
      <c r="D17" s="1690">
        <v>41448179.5</v>
      </c>
      <c r="E17" s="1942"/>
      <c r="F17" s="1943"/>
    </row>
    <row r="18" spans="1:11" ht="13.5" thickBot="1" x14ac:dyDescent="0.25">
      <c r="A18" s="1687">
        <v>3</v>
      </c>
      <c r="B18" s="1691">
        <v>15974</v>
      </c>
      <c r="C18" s="1689" t="s">
        <v>624</v>
      </c>
      <c r="D18" s="1690">
        <v>31535312.050000001</v>
      </c>
      <c r="E18" s="1942"/>
      <c r="F18" s="1943"/>
    </row>
    <row r="19" spans="1:11" ht="13.5" thickBot="1" x14ac:dyDescent="0.25">
      <c r="A19" s="1676">
        <v>315</v>
      </c>
      <c r="B19" s="1946" t="s">
        <v>625</v>
      </c>
      <c r="C19" s="1947"/>
      <c r="D19" s="1677">
        <f>SUM(D16:D18)</f>
        <v>77864958.730000004</v>
      </c>
      <c r="E19" s="1944"/>
      <c r="F19" s="1945"/>
    </row>
    <row r="20" spans="1:11" x14ac:dyDescent="0.2">
      <c r="A20" s="1679"/>
      <c r="B20" s="1680"/>
      <c r="C20" s="1680"/>
      <c r="D20" s="956"/>
      <c r="E20" s="956"/>
      <c r="F20" s="956"/>
    </row>
    <row r="21" spans="1:11" x14ac:dyDescent="0.2">
      <c r="A21" s="1937" t="s">
        <v>626</v>
      </c>
      <c r="B21" s="1937"/>
      <c r="C21" s="1937"/>
      <c r="D21" s="1937"/>
      <c r="E21" s="1937"/>
      <c r="F21" s="1937"/>
    </row>
    <row r="22" spans="1:11" ht="13.5" thickBot="1" x14ac:dyDescent="0.25">
      <c r="A22" s="1662"/>
      <c r="B22" s="1662"/>
      <c r="C22" s="1662"/>
      <c r="D22" s="1662"/>
      <c r="E22" s="1662"/>
      <c r="F22" s="1662"/>
    </row>
    <row r="23" spans="1:11" ht="13.5" thickBot="1" x14ac:dyDescent="0.25">
      <c r="A23" s="1663" t="s">
        <v>581</v>
      </c>
      <c r="B23" s="1664" t="s">
        <v>582</v>
      </c>
      <c r="C23" s="1665" t="s">
        <v>583</v>
      </c>
      <c r="D23" s="1664" t="s">
        <v>584</v>
      </c>
      <c r="E23" s="1940" t="s">
        <v>617</v>
      </c>
      <c r="F23" s="1941"/>
      <c r="H23" s="1692"/>
      <c r="I23" s="1671"/>
      <c r="J23" s="1693"/>
      <c r="K23" s="1673"/>
    </row>
    <row r="24" spans="1:11" x14ac:dyDescent="0.2">
      <c r="A24" s="1683">
        <v>1</v>
      </c>
      <c r="B24" s="1684">
        <v>17015</v>
      </c>
      <c r="C24" s="1694" t="s">
        <v>717</v>
      </c>
      <c r="D24" s="1686">
        <v>820872.15</v>
      </c>
      <c r="E24" s="1942"/>
      <c r="F24" s="1943"/>
      <c r="H24" s="1671"/>
      <c r="I24" s="1671"/>
      <c r="J24" s="958"/>
      <c r="K24" s="1673"/>
    </row>
    <row r="25" spans="1:11" x14ac:dyDescent="0.2">
      <c r="A25" s="1683">
        <v>2</v>
      </c>
      <c r="B25" s="1684">
        <v>17016</v>
      </c>
      <c r="C25" s="1694" t="s">
        <v>718</v>
      </c>
      <c r="D25" s="1686">
        <v>13954826.689999999</v>
      </c>
      <c r="E25" s="1942"/>
      <c r="F25" s="1943"/>
      <c r="H25" s="1692"/>
      <c r="I25" s="1671"/>
      <c r="J25" s="1693"/>
      <c r="K25" s="1673"/>
    </row>
    <row r="26" spans="1:11" x14ac:dyDescent="0.2">
      <c r="A26" s="1683">
        <v>3</v>
      </c>
      <c r="B26" s="1684">
        <v>17017</v>
      </c>
      <c r="C26" s="1694" t="s">
        <v>627</v>
      </c>
      <c r="D26" s="1686">
        <v>226452.17</v>
      </c>
      <c r="E26" s="1942"/>
      <c r="F26" s="1943"/>
      <c r="H26" s="1671"/>
      <c r="I26" s="1671"/>
      <c r="J26" s="1693"/>
      <c r="K26" s="1673"/>
    </row>
    <row r="27" spans="1:11" x14ac:dyDescent="0.2">
      <c r="A27" s="1683">
        <v>4</v>
      </c>
      <c r="B27" s="1684">
        <v>17018</v>
      </c>
      <c r="C27" s="1694" t="s">
        <v>628</v>
      </c>
      <c r="D27" s="1686">
        <v>1283228.95</v>
      </c>
      <c r="E27" s="1942"/>
      <c r="F27" s="1943"/>
      <c r="H27" s="1692"/>
      <c r="I27" s="1671"/>
      <c r="J27" s="1693"/>
      <c r="K27" s="1673"/>
    </row>
    <row r="28" spans="1:11" x14ac:dyDescent="0.2">
      <c r="A28" s="1683">
        <v>5</v>
      </c>
      <c r="B28" s="1684">
        <v>17051</v>
      </c>
      <c r="C28" s="1694" t="s">
        <v>629</v>
      </c>
      <c r="D28" s="1686">
        <v>240032.49</v>
      </c>
      <c r="E28" s="1942"/>
      <c r="F28" s="1943"/>
      <c r="H28" s="1692"/>
      <c r="I28" s="1671"/>
      <c r="J28" s="1693"/>
      <c r="K28" s="1673"/>
    </row>
    <row r="29" spans="1:11" x14ac:dyDescent="0.2">
      <c r="A29" s="1687">
        <v>6</v>
      </c>
      <c r="B29" s="1688">
        <v>17968</v>
      </c>
      <c r="C29" s="1695" t="s">
        <v>670</v>
      </c>
      <c r="D29" s="1696">
        <v>19860077.510000002</v>
      </c>
      <c r="E29" s="1942"/>
      <c r="F29" s="1943"/>
      <c r="H29" s="1692"/>
      <c r="I29" s="1671"/>
      <c r="J29" s="1693"/>
      <c r="K29" s="1673"/>
    </row>
    <row r="30" spans="1:11" ht="13.5" thickBot="1" x14ac:dyDescent="0.25">
      <c r="A30" s="1687">
        <v>7</v>
      </c>
      <c r="B30" s="1688">
        <v>17969</v>
      </c>
      <c r="C30" s="1695" t="s">
        <v>671</v>
      </c>
      <c r="D30" s="1696">
        <v>357137121.89999998</v>
      </c>
      <c r="E30" s="1942"/>
      <c r="F30" s="1943"/>
      <c r="J30" s="958"/>
    </row>
    <row r="31" spans="1:11" ht="13.5" thickBot="1" x14ac:dyDescent="0.25">
      <c r="A31" s="1676">
        <v>317</v>
      </c>
      <c r="B31" s="1946" t="s">
        <v>630</v>
      </c>
      <c r="C31" s="1947"/>
      <c r="D31" s="1677">
        <f>SUM(D24:D30)</f>
        <v>393522611.85999995</v>
      </c>
      <c r="E31" s="1944"/>
      <c r="F31" s="1945"/>
    </row>
    <row r="32" spans="1:11" x14ac:dyDescent="0.2">
      <c r="A32" s="1679"/>
      <c r="B32" s="1680"/>
      <c r="C32" s="1680"/>
      <c r="D32" s="956"/>
      <c r="E32" s="956"/>
      <c r="F32" s="956"/>
    </row>
    <row r="33" spans="1:11" x14ac:dyDescent="0.2">
      <c r="A33" s="1937" t="s">
        <v>2012</v>
      </c>
      <c r="B33" s="1937"/>
      <c r="C33" s="1937"/>
      <c r="D33" s="1937"/>
      <c r="E33" s="1937"/>
      <c r="F33" s="1937"/>
    </row>
    <row r="34" spans="1:11" ht="13.5" thickBot="1" x14ac:dyDescent="0.25">
      <c r="A34" s="1662"/>
      <c r="B34" s="1662"/>
      <c r="C34" s="1662"/>
      <c r="D34" s="1662"/>
      <c r="E34" s="1662"/>
      <c r="F34" s="1662"/>
    </row>
    <row r="35" spans="1:11" ht="13.5" thickBot="1" x14ac:dyDescent="0.25">
      <c r="A35" s="1676" t="s">
        <v>581</v>
      </c>
      <c r="B35" s="1681" t="s">
        <v>582</v>
      </c>
      <c r="C35" s="1682" t="s">
        <v>583</v>
      </c>
      <c r="D35" s="1681" t="s">
        <v>584</v>
      </c>
      <c r="E35" s="1940" t="s">
        <v>617</v>
      </c>
      <c r="F35" s="1941"/>
    </row>
    <row r="36" spans="1:11" ht="13.5" thickBot="1" x14ac:dyDescent="0.25">
      <c r="A36" s="1697">
        <v>1</v>
      </c>
      <c r="B36" s="1698">
        <v>22965</v>
      </c>
      <c r="C36" s="1699" t="s">
        <v>2013</v>
      </c>
      <c r="D36" s="1700">
        <v>47954391.439999998</v>
      </c>
      <c r="E36" s="1942"/>
      <c r="F36" s="1943"/>
    </row>
    <row r="37" spans="1:11" ht="13.5" thickBot="1" x14ac:dyDescent="0.25">
      <c r="A37" s="1676">
        <v>322</v>
      </c>
      <c r="B37" s="1946" t="s">
        <v>2014</v>
      </c>
      <c r="C37" s="1947"/>
      <c r="D37" s="1677">
        <f>SUM(D36:D36)</f>
        <v>47954391.439999998</v>
      </c>
      <c r="E37" s="1944"/>
      <c r="F37" s="1945"/>
    </row>
    <row r="38" spans="1:11" x14ac:dyDescent="0.2">
      <c r="A38" s="1679"/>
      <c r="B38" s="1680"/>
      <c r="C38" s="1680"/>
      <c r="D38" s="956"/>
      <c r="E38" s="1701"/>
      <c r="F38" s="1701"/>
    </row>
    <row r="39" spans="1:11" x14ac:dyDescent="0.2">
      <c r="A39" s="1937" t="s">
        <v>785</v>
      </c>
      <c r="B39" s="1937"/>
      <c r="C39" s="1937"/>
      <c r="D39" s="1937"/>
      <c r="E39" s="1937"/>
      <c r="F39" s="1937"/>
    </row>
    <row r="40" spans="1:11" ht="13.5" thickBot="1" x14ac:dyDescent="0.25">
      <c r="A40" s="1662"/>
      <c r="B40" s="1662"/>
      <c r="C40" s="1662"/>
      <c r="D40" s="1662"/>
      <c r="E40" s="1662"/>
      <c r="F40" s="1662"/>
    </row>
    <row r="41" spans="1:11" ht="14.45" customHeight="1" thickBot="1" x14ac:dyDescent="0.25">
      <c r="A41" s="1676" t="s">
        <v>581</v>
      </c>
      <c r="B41" s="1681" t="s">
        <v>582</v>
      </c>
      <c r="C41" s="1682" t="s">
        <v>583</v>
      </c>
      <c r="D41" s="1681" t="s">
        <v>584</v>
      </c>
      <c r="E41" s="1940" t="s">
        <v>617</v>
      </c>
      <c r="F41" s="1941"/>
    </row>
    <row r="42" spans="1:11" s="961" customFormat="1" ht="14.45" customHeight="1" thickBot="1" x14ac:dyDescent="0.25">
      <c r="A42" s="1697">
        <v>1</v>
      </c>
      <c r="B42" s="1698">
        <v>29501</v>
      </c>
      <c r="C42" s="1699" t="s">
        <v>787</v>
      </c>
      <c r="D42" s="1700">
        <v>3033803</v>
      </c>
      <c r="E42" s="1942"/>
      <c r="F42" s="1943"/>
    </row>
    <row r="43" spans="1:11" ht="14.45" customHeight="1" thickBot="1" x14ac:dyDescent="0.25">
      <c r="A43" s="1676">
        <v>329</v>
      </c>
      <c r="B43" s="1946" t="s">
        <v>786</v>
      </c>
      <c r="C43" s="1947"/>
      <c r="D43" s="1677">
        <f>SUM(D42:D42)</f>
        <v>3033803</v>
      </c>
      <c r="E43" s="1944"/>
      <c r="F43" s="1945"/>
    </row>
    <row r="44" spans="1:11" x14ac:dyDescent="0.2">
      <c r="A44" s="1679"/>
      <c r="B44" s="1680"/>
      <c r="C44" s="1680"/>
      <c r="D44" s="956"/>
      <c r="E44" s="956"/>
      <c r="F44" s="956"/>
    </row>
    <row r="45" spans="1:11" x14ac:dyDescent="0.2">
      <c r="A45" s="1937" t="s">
        <v>596</v>
      </c>
      <c r="B45" s="1937"/>
      <c r="C45" s="1937"/>
      <c r="D45" s="1937"/>
      <c r="E45" s="1937"/>
      <c r="F45" s="1937"/>
    </row>
    <row r="46" spans="1:11" ht="13.5" thickBot="1" x14ac:dyDescent="0.25">
      <c r="A46" s="1702"/>
      <c r="B46" s="1702"/>
      <c r="C46" s="1702"/>
      <c r="D46" s="1702"/>
      <c r="E46" s="1702"/>
      <c r="F46" s="1702"/>
    </row>
    <row r="47" spans="1:11" ht="13.5" customHeight="1" thickBot="1" x14ac:dyDescent="0.25">
      <c r="A47" s="1676" t="s">
        <v>581</v>
      </c>
      <c r="B47" s="1681" t="s">
        <v>582</v>
      </c>
      <c r="C47" s="1682" t="s">
        <v>583</v>
      </c>
      <c r="D47" s="1681" t="s">
        <v>584</v>
      </c>
      <c r="E47" s="1940" t="s">
        <v>617</v>
      </c>
      <c r="F47" s="1941"/>
    </row>
    <row r="48" spans="1:11" ht="13.5" customHeight="1" x14ac:dyDescent="0.2">
      <c r="A48" s="1683">
        <v>1</v>
      </c>
      <c r="B48" s="1684">
        <v>33062</v>
      </c>
      <c r="C48" s="1694" t="s">
        <v>784</v>
      </c>
      <c r="D48" s="1686">
        <v>5950000</v>
      </c>
      <c r="E48" s="1942"/>
      <c r="F48" s="1943"/>
      <c r="H48" s="1671"/>
      <c r="I48" s="1671"/>
      <c r="J48" s="1672"/>
      <c r="K48" s="1673"/>
    </row>
    <row r="49" spans="1:11" x14ac:dyDescent="0.2">
      <c r="A49" s="1683">
        <v>2</v>
      </c>
      <c r="B49" s="1684">
        <v>33063</v>
      </c>
      <c r="C49" s="1694" t="s">
        <v>631</v>
      </c>
      <c r="D49" s="1686">
        <v>2559142.02</v>
      </c>
      <c r="E49" s="1942"/>
      <c r="F49" s="1943"/>
      <c r="H49" s="1671"/>
      <c r="I49" s="1671"/>
      <c r="J49" s="1672"/>
      <c r="K49" s="1673"/>
    </row>
    <row r="50" spans="1:11" x14ac:dyDescent="0.2">
      <c r="A50" s="1683">
        <v>3</v>
      </c>
      <c r="B50" s="1684">
        <v>33063</v>
      </c>
      <c r="C50" s="1694" t="s">
        <v>632</v>
      </c>
      <c r="D50" s="1686">
        <v>20630672</v>
      </c>
      <c r="E50" s="1942"/>
      <c r="F50" s="1943"/>
      <c r="H50" s="1671"/>
      <c r="I50" s="1671"/>
      <c r="J50" s="1672"/>
      <c r="K50" s="1673"/>
    </row>
    <row r="51" spans="1:11" x14ac:dyDescent="0.2">
      <c r="A51" s="1703">
        <v>4</v>
      </c>
      <c r="B51" s="1704">
        <v>33982</v>
      </c>
      <c r="C51" s="1705" t="s">
        <v>788</v>
      </c>
      <c r="D51" s="1706">
        <v>4159.25</v>
      </c>
      <c r="E51" s="1942"/>
      <c r="F51" s="1943"/>
      <c r="H51" s="1671"/>
      <c r="I51" s="1671"/>
      <c r="J51" s="1672"/>
      <c r="K51" s="1673"/>
    </row>
    <row r="52" spans="1:11" x14ac:dyDescent="0.2">
      <c r="A52" s="1703">
        <v>5</v>
      </c>
      <c r="B52" s="1704">
        <v>33982</v>
      </c>
      <c r="C52" s="1707" t="s">
        <v>789</v>
      </c>
      <c r="D52" s="1706">
        <v>35353.620000000003</v>
      </c>
      <c r="E52" s="1942"/>
      <c r="F52" s="1943"/>
      <c r="H52" s="1671"/>
      <c r="I52" s="1671"/>
      <c r="J52" s="1672"/>
      <c r="K52" s="1673"/>
    </row>
    <row r="53" spans="1:11" ht="22.5" customHeight="1" thickBot="1" x14ac:dyDescent="0.25">
      <c r="A53" s="1708">
        <v>6</v>
      </c>
      <c r="B53" s="1709">
        <v>33085</v>
      </c>
      <c r="C53" s="1710" t="s">
        <v>2015</v>
      </c>
      <c r="D53" s="1711">
        <v>1951400</v>
      </c>
      <c r="E53" s="1942"/>
      <c r="F53" s="1943"/>
      <c r="H53" s="1671"/>
      <c r="I53" s="1671"/>
      <c r="J53" s="1672"/>
      <c r="K53" s="1673"/>
    </row>
    <row r="54" spans="1:11" ht="13.5" thickBot="1" x14ac:dyDescent="0.25">
      <c r="A54" s="1676">
        <v>333</v>
      </c>
      <c r="B54" s="1946" t="s">
        <v>599</v>
      </c>
      <c r="C54" s="1947"/>
      <c r="D54" s="1677">
        <f>SUM(D48:D53)</f>
        <v>31130726.890000001</v>
      </c>
      <c r="E54" s="1944"/>
      <c r="F54" s="1945"/>
      <c r="H54" s="1712"/>
      <c r="I54" s="1713"/>
      <c r="J54" s="1714"/>
      <c r="K54" s="1673"/>
    </row>
    <row r="55" spans="1:11" x14ac:dyDescent="0.2">
      <c r="E55" s="1938" t="s">
        <v>801</v>
      </c>
      <c r="F55" s="1938"/>
    </row>
    <row r="56" spans="1:11" ht="66" customHeight="1" x14ac:dyDescent="0.2">
      <c r="A56" s="1939" t="s">
        <v>1663</v>
      </c>
      <c r="B56" s="1939"/>
      <c r="C56" s="1939"/>
      <c r="D56" s="1939"/>
      <c r="E56" s="1939"/>
      <c r="F56" s="1939"/>
    </row>
    <row r="57" spans="1:11" x14ac:dyDescent="0.2">
      <c r="A57" s="1679"/>
      <c r="B57" s="1680"/>
      <c r="C57" s="1680"/>
      <c r="D57" s="956"/>
      <c r="E57" s="1701"/>
      <c r="F57" s="1701"/>
    </row>
    <row r="58" spans="1:11" x14ac:dyDescent="0.2">
      <c r="A58" s="1937" t="s">
        <v>320</v>
      </c>
      <c r="B58" s="1937"/>
      <c r="C58" s="1937"/>
      <c r="D58" s="1937"/>
      <c r="E58" s="1937"/>
      <c r="F58" s="1937"/>
    </row>
    <row r="59" spans="1:11" ht="13.5" thickBot="1" x14ac:dyDescent="0.25">
      <c r="A59" s="1662"/>
      <c r="B59" s="1662"/>
      <c r="C59" s="1662"/>
      <c r="D59" s="1662"/>
      <c r="E59" s="1662"/>
      <c r="F59" s="1662"/>
    </row>
    <row r="60" spans="1:11" ht="13.5" thickBot="1" x14ac:dyDescent="0.25">
      <c r="A60" s="1676" t="s">
        <v>581</v>
      </c>
      <c r="B60" s="1681" t="s">
        <v>582</v>
      </c>
      <c r="C60" s="1682" t="s">
        <v>583</v>
      </c>
      <c r="D60" s="1681" t="s">
        <v>584</v>
      </c>
      <c r="E60" s="1948" t="s">
        <v>617</v>
      </c>
      <c r="F60" s="1949"/>
    </row>
    <row r="61" spans="1:11" x14ac:dyDescent="0.2">
      <c r="A61" s="1715" t="s">
        <v>633</v>
      </c>
      <c r="B61" s="1684">
        <v>91252</v>
      </c>
      <c r="C61" s="1716" t="s">
        <v>721</v>
      </c>
      <c r="D61" s="1717">
        <v>12293603.880000001</v>
      </c>
      <c r="E61" s="1950"/>
      <c r="F61" s="1951"/>
      <c r="H61" s="1671"/>
      <c r="I61" s="1671"/>
      <c r="J61" s="1672"/>
      <c r="K61" s="1673"/>
    </row>
    <row r="62" spans="1:11" ht="13.5" thickBot="1" x14ac:dyDescent="0.25">
      <c r="A62" s="1718" t="s">
        <v>720</v>
      </c>
      <c r="B62" s="1691">
        <v>91628</v>
      </c>
      <c r="C62" s="1719" t="s">
        <v>722</v>
      </c>
      <c r="D62" s="1720">
        <v>243604383.5</v>
      </c>
      <c r="E62" s="1950"/>
      <c r="F62" s="1951"/>
      <c r="H62" s="1671"/>
      <c r="I62" s="1671"/>
      <c r="J62" s="1672"/>
      <c r="K62" s="1673"/>
    </row>
    <row r="63" spans="1:11" ht="13.5" thickBot="1" x14ac:dyDescent="0.25">
      <c r="A63" s="1676" t="s">
        <v>319</v>
      </c>
      <c r="B63" s="1946" t="s">
        <v>719</v>
      </c>
      <c r="C63" s="1947"/>
      <c r="D63" s="1721">
        <f>SUM(D61:D62)</f>
        <v>255897987.38</v>
      </c>
      <c r="E63" s="1952"/>
      <c r="F63" s="1953"/>
    </row>
    <row r="64" spans="1:11" x14ac:dyDescent="0.2">
      <c r="A64" s="1679"/>
      <c r="B64" s="1680"/>
      <c r="C64" s="1680"/>
      <c r="D64" s="1722"/>
      <c r="E64" s="1723"/>
      <c r="F64" s="1723"/>
    </row>
    <row r="65" spans="1:11" x14ac:dyDescent="0.2">
      <c r="A65" s="1937" t="s">
        <v>723</v>
      </c>
      <c r="B65" s="1937"/>
      <c r="C65" s="1937"/>
      <c r="D65" s="1937"/>
      <c r="E65" s="1937"/>
      <c r="F65" s="1937"/>
    </row>
    <row r="66" spans="1:11" ht="13.5" thickBot="1" x14ac:dyDescent="0.25">
      <c r="A66" s="1662"/>
      <c r="B66" s="1662"/>
      <c r="C66" s="1662"/>
      <c r="D66" s="1662"/>
      <c r="E66" s="1662"/>
      <c r="F66" s="1662"/>
    </row>
    <row r="67" spans="1:11" ht="13.5" thickBot="1" x14ac:dyDescent="0.25">
      <c r="A67" s="1676" t="s">
        <v>581</v>
      </c>
      <c r="B67" s="1681" t="s">
        <v>582</v>
      </c>
      <c r="C67" s="1682" t="s">
        <v>583</v>
      </c>
      <c r="D67" s="1681" t="s">
        <v>584</v>
      </c>
      <c r="E67" s="1948" t="s">
        <v>617</v>
      </c>
      <c r="F67" s="1949"/>
    </row>
    <row r="68" spans="1:11" x14ac:dyDescent="0.2">
      <c r="A68" s="1715" t="s">
        <v>633</v>
      </c>
      <c r="B68" s="1684">
        <v>90006</v>
      </c>
      <c r="C68" s="1716" t="s">
        <v>1665</v>
      </c>
      <c r="D68" s="1717">
        <v>34581.19</v>
      </c>
      <c r="E68" s="1950"/>
      <c r="F68" s="1951"/>
      <c r="H68" s="1671"/>
      <c r="I68" s="1671"/>
      <c r="J68" s="1672"/>
      <c r="K68" s="1673"/>
    </row>
    <row r="69" spans="1:11" ht="13.5" thickBot="1" x14ac:dyDescent="0.25">
      <c r="A69" s="1724" t="s">
        <v>720</v>
      </c>
      <c r="B69" s="1725">
        <v>90003</v>
      </c>
      <c r="C69" s="1726" t="s">
        <v>1666</v>
      </c>
      <c r="D69" s="1727">
        <v>195960.11</v>
      </c>
      <c r="E69" s="1950"/>
      <c r="F69" s="1951"/>
      <c r="H69" s="1671"/>
      <c r="I69" s="1671"/>
      <c r="J69" s="1672"/>
      <c r="K69" s="1673"/>
    </row>
    <row r="70" spans="1:11" ht="13.5" thickBot="1" x14ac:dyDescent="0.25">
      <c r="A70" s="1676" t="s">
        <v>188</v>
      </c>
      <c r="B70" s="1946" t="s">
        <v>724</v>
      </c>
      <c r="C70" s="1947"/>
      <c r="D70" s="1721">
        <f>SUM(D68:D69)</f>
        <v>230541.3</v>
      </c>
      <c r="E70" s="1952"/>
      <c r="F70" s="1953"/>
    </row>
    <row r="71" spans="1:11" x14ac:dyDescent="0.2">
      <c r="A71" s="1679"/>
      <c r="B71" s="1680"/>
      <c r="C71" s="1680"/>
      <c r="D71" s="1722"/>
      <c r="E71" s="1723"/>
      <c r="F71" s="1723"/>
    </row>
    <row r="72" spans="1:11" x14ac:dyDescent="0.2">
      <c r="A72" s="1937" t="s">
        <v>672</v>
      </c>
      <c r="B72" s="1937"/>
      <c r="C72" s="1937"/>
      <c r="D72" s="1937"/>
      <c r="E72" s="1937"/>
      <c r="F72" s="1937"/>
    </row>
    <row r="73" spans="1:11" ht="13.5" thickBot="1" x14ac:dyDescent="0.25">
      <c r="A73" s="1662"/>
      <c r="B73" s="1662"/>
      <c r="C73" s="1662"/>
      <c r="D73" s="1662"/>
      <c r="E73" s="1662"/>
      <c r="F73" s="1662"/>
    </row>
    <row r="74" spans="1:11" ht="13.5" thickBot="1" x14ac:dyDescent="0.25">
      <c r="A74" s="1676" t="s">
        <v>581</v>
      </c>
      <c r="B74" s="1681" t="s">
        <v>582</v>
      </c>
      <c r="C74" s="1682" t="s">
        <v>583</v>
      </c>
      <c r="D74" s="1681" t="s">
        <v>584</v>
      </c>
      <c r="E74" s="1948" t="s">
        <v>617</v>
      </c>
      <c r="F74" s="1949"/>
    </row>
    <row r="75" spans="1:11" ht="13.5" thickBot="1" x14ac:dyDescent="0.25">
      <c r="A75" s="1683">
        <v>1</v>
      </c>
      <c r="B75" s="1684">
        <v>95113</v>
      </c>
      <c r="C75" s="1694" t="s">
        <v>725</v>
      </c>
      <c r="D75" s="1686">
        <v>2547638.54</v>
      </c>
      <c r="E75" s="1950"/>
      <c r="F75" s="1951"/>
      <c r="H75" s="1671"/>
      <c r="I75" s="1671"/>
      <c r="J75" s="1672"/>
      <c r="K75" s="1673"/>
    </row>
    <row r="76" spans="1:11" ht="13.5" thickBot="1" x14ac:dyDescent="0.25">
      <c r="A76" s="1676" t="s">
        <v>652</v>
      </c>
      <c r="B76" s="1946" t="s">
        <v>673</v>
      </c>
      <c r="C76" s="1947"/>
      <c r="D76" s="1721">
        <f>SUM(D75:D75)</f>
        <v>2547638.54</v>
      </c>
      <c r="E76" s="1952"/>
      <c r="F76" s="1953"/>
    </row>
    <row r="77" spans="1:11" x14ac:dyDescent="0.2">
      <c r="A77" s="1008"/>
      <c r="B77" s="1008"/>
      <c r="C77" s="1008"/>
      <c r="D77" s="1008"/>
      <c r="E77" s="1008"/>
      <c r="F77" s="1008"/>
    </row>
    <row r="78" spans="1:11" x14ac:dyDescent="0.2">
      <c r="A78" s="1937" t="s">
        <v>674</v>
      </c>
      <c r="B78" s="1937"/>
      <c r="C78" s="1937"/>
      <c r="D78" s="1937"/>
      <c r="E78" s="1937"/>
      <c r="F78" s="1937"/>
    </row>
    <row r="79" spans="1:11" ht="13.5" thickBot="1" x14ac:dyDescent="0.25">
      <c r="A79" s="1662"/>
      <c r="B79" s="1662"/>
      <c r="C79" s="1662"/>
      <c r="D79" s="1662"/>
      <c r="E79" s="1662"/>
      <c r="F79" s="1662"/>
    </row>
    <row r="80" spans="1:11" ht="13.5" thickBot="1" x14ac:dyDescent="0.25">
      <c r="A80" s="1676" t="s">
        <v>581</v>
      </c>
      <c r="B80" s="1681" t="s">
        <v>582</v>
      </c>
      <c r="C80" s="1682" t="s">
        <v>583</v>
      </c>
      <c r="D80" s="1681" t="s">
        <v>584</v>
      </c>
      <c r="E80" s="1948" t="s">
        <v>617</v>
      </c>
      <c r="F80" s="1949"/>
    </row>
    <row r="81" spans="1:8" x14ac:dyDescent="0.2">
      <c r="A81" s="1683">
        <v>1</v>
      </c>
      <c r="B81" s="1684"/>
      <c r="C81" s="1694" t="s">
        <v>675</v>
      </c>
      <c r="D81" s="1728">
        <v>270470.99</v>
      </c>
      <c r="E81" s="1950"/>
      <c r="F81" s="1951"/>
      <c r="H81" s="1729"/>
    </row>
    <row r="82" spans="1:8" ht="13.5" thickBot="1" x14ac:dyDescent="0.25">
      <c r="A82" s="1687">
        <v>2</v>
      </c>
      <c r="B82" s="1688"/>
      <c r="C82" s="1695" t="s">
        <v>726</v>
      </c>
      <c r="D82" s="1696">
        <v>0</v>
      </c>
      <c r="E82" s="1950"/>
      <c r="F82" s="1951"/>
    </row>
    <row r="83" spans="1:8" ht="13.5" thickBot="1" x14ac:dyDescent="0.25">
      <c r="A83" s="1676"/>
      <c r="B83" s="1946" t="s">
        <v>676</v>
      </c>
      <c r="C83" s="1947"/>
      <c r="D83" s="1677">
        <f>SUM(D81:D82)</f>
        <v>270470.99</v>
      </c>
      <c r="E83" s="1952"/>
      <c r="F83" s="1953"/>
    </row>
    <row r="84" spans="1:8" x14ac:dyDescent="0.2">
      <c r="A84" s="1008"/>
      <c r="B84" s="1008"/>
      <c r="C84" s="1008"/>
      <c r="D84" s="1008"/>
      <c r="E84" s="1008"/>
      <c r="F84" s="1008"/>
    </row>
    <row r="85" spans="1:8" x14ac:dyDescent="0.2">
      <c r="A85" s="1008"/>
      <c r="B85" s="1008"/>
      <c r="C85" s="1008"/>
      <c r="D85" s="1008"/>
      <c r="E85" s="1008"/>
      <c r="F85" s="1008"/>
    </row>
    <row r="86" spans="1:8" x14ac:dyDescent="0.2">
      <c r="A86" s="1008"/>
      <c r="B86" s="1008"/>
      <c r="C86" s="1008"/>
      <c r="D86" s="1008"/>
      <c r="E86" s="1008"/>
      <c r="F86" s="1008"/>
    </row>
    <row r="87" spans="1:8" ht="15.75" x14ac:dyDescent="0.25">
      <c r="A87" s="1954" t="s">
        <v>1667</v>
      </c>
      <c r="B87" s="1954"/>
      <c r="C87" s="1954"/>
      <c r="D87" s="1954"/>
      <c r="E87" s="1954"/>
      <c r="F87" s="1954"/>
    </row>
    <row r="88" spans="1:8" ht="12.75" customHeight="1" x14ac:dyDescent="0.25">
      <c r="A88" s="1325"/>
      <c r="B88" s="1325"/>
      <c r="C88" s="1325"/>
      <c r="D88" s="1325"/>
      <c r="E88" s="1325"/>
      <c r="F88" s="1325"/>
    </row>
    <row r="89" spans="1:8" x14ac:dyDescent="0.2">
      <c r="A89" s="1937" t="s">
        <v>607</v>
      </c>
      <c r="B89" s="1937"/>
      <c r="C89" s="1937"/>
      <c r="D89" s="1937"/>
      <c r="E89" s="1937"/>
      <c r="F89" s="1937"/>
    </row>
    <row r="90" spans="1:8" ht="16.5" thickBot="1" x14ac:dyDescent="0.3">
      <c r="A90" s="1325"/>
      <c r="B90" s="1325"/>
      <c r="C90" s="1325"/>
      <c r="D90" s="1325"/>
      <c r="E90" s="1325"/>
      <c r="F90" s="1325"/>
    </row>
    <row r="91" spans="1:8" ht="13.5" thickBot="1" x14ac:dyDescent="0.25">
      <c r="A91" s="1676" t="s">
        <v>608</v>
      </c>
      <c r="B91" s="1681" t="s">
        <v>609</v>
      </c>
      <c r="C91" s="1682" t="s">
        <v>634</v>
      </c>
      <c r="D91" s="1681" t="s">
        <v>584</v>
      </c>
      <c r="E91" s="1940" t="s">
        <v>617</v>
      </c>
      <c r="F91" s="1941"/>
    </row>
    <row r="92" spans="1:8" x14ac:dyDescent="0.2">
      <c r="A92" s="1667">
        <v>313</v>
      </c>
      <c r="B92" s="1730" t="s">
        <v>191</v>
      </c>
      <c r="C92" s="1694" t="s">
        <v>151</v>
      </c>
      <c r="D92" s="1686">
        <f>D11</f>
        <v>5955441.4800000004</v>
      </c>
      <c r="E92" s="1942"/>
      <c r="F92" s="1943"/>
    </row>
    <row r="93" spans="1:8" x14ac:dyDescent="0.2">
      <c r="A93" s="1667">
        <v>315</v>
      </c>
      <c r="B93" s="1730" t="s">
        <v>194</v>
      </c>
      <c r="C93" s="1694" t="s">
        <v>238</v>
      </c>
      <c r="D93" s="1686">
        <f>D16</f>
        <v>4881467.18</v>
      </c>
      <c r="E93" s="1942"/>
      <c r="F93" s="1943"/>
    </row>
    <row r="94" spans="1:8" x14ac:dyDescent="0.2">
      <c r="A94" s="1667">
        <v>317</v>
      </c>
      <c r="B94" s="1730" t="s">
        <v>193</v>
      </c>
      <c r="C94" s="1694" t="s">
        <v>635</v>
      </c>
      <c r="D94" s="1686">
        <f>D24+D25+D26+D27+D28</f>
        <v>16525412.449999999</v>
      </c>
      <c r="E94" s="1942"/>
      <c r="F94" s="1943"/>
    </row>
    <row r="95" spans="1:8" x14ac:dyDescent="0.2">
      <c r="A95" s="1667">
        <v>329</v>
      </c>
      <c r="B95" s="1730" t="s">
        <v>790</v>
      </c>
      <c r="C95" s="1694" t="s">
        <v>786</v>
      </c>
      <c r="D95" s="1686">
        <v>0</v>
      </c>
      <c r="E95" s="1942"/>
      <c r="F95" s="1943"/>
    </row>
    <row r="96" spans="1:8" x14ac:dyDescent="0.2">
      <c r="A96" s="1667">
        <v>333</v>
      </c>
      <c r="B96" s="1730" t="s">
        <v>190</v>
      </c>
      <c r="C96" s="1694" t="s">
        <v>613</v>
      </c>
      <c r="D96" s="1686">
        <f>D48+D49+D50+D53</f>
        <v>31091214.02</v>
      </c>
      <c r="E96" s="1942"/>
      <c r="F96" s="1943"/>
    </row>
    <row r="97" spans="1:6" x14ac:dyDescent="0.2">
      <c r="A97" s="1667" t="s">
        <v>75</v>
      </c>
      <c r="B97" s="1731" t="s">
        <v>319</v>
      </c>
      <c r="C97" s="1694" t="s">
        <v>320</v>
      </c>
      <c r="D97" s="1686">
        <f>D61</f>
        <v>12293603.880000001</v>
      </c>
      <c r="E97" s="1942"/>
      <c r="F97" s="1943"/>
    </row>
    <row r="98" spans="1:6" x14ac:dyDescent="0.2">
      <c r="A98" s="1667" t="s">
        <v>75</v>
      </c>
      <c r="B98" s="1731" t="s">
        <v>188</v>
      </c>
      <c r="C98" s="1694" t="s">
        <v>723</v>
      </c>
      <c r="D98" s="1686">
        <f>D68+D69</f>
        <v>230541.3</v>
      </c>
      <c r="E98" s="1942"/>
      <c r="F98" s="1943"/>
    </row>
    <row r="99" spans="1:6" x14ac:dyDescent="0.2">
      <c r="A99" s="1667" t="s">
        <v>75</v>
      </c>
      <c r="B99" s="1731" t="s">
        <v>652</v>
      </c>
      <c r="C99" s="1694" t="s">
        <v>672</v>
      </c>
      <c r="D99" s="1686">
        <f>D75</f>
        <v>2547638.54</v>
      </c>
      <c r="E99" s="1942"/>
      <c r="F99" s="1943"/>
    </row>
    <row r="100" spans="1:6" ht="13.5" thickBot="1" x14ac:dyDescent="0.25">
      <c r="A100" s="1732" t="s">
        <v>75</v>
      </c>
      <c r="B100" s="1733"/>
      <c r="C100" s="1734" t="s">
        <v>677</v>
      </c>
      <c r="D100" s="1686">
        <f>D81</f>
        <v>270470.99</v>
      </c>
      <c r="E100" s="1942"/>
      <c r="F100" s="1943"/>
    </row>
    <row r="101" spans="1:6" ht="13.5" thickBot="1" x14ac:dyDescent="0.25">
      <c r="A101" s="1676" t="s">
        <v>75</v>
      </c>
      <c r="B101" s="1682" t="s">
        <v>258</v>
      </c>
      <c r="C101" s="1735" t="s">
        <v>614</v>
      </c>
      <c r="D101" s="1721">
        <f>SUM(D92:D100)</f>
        <v>73795789.839999989</v>
      </c>
      <c r="E101" s="1944"/>
      <c r="F101" s="1945"/>
    </row>
    <row r="102" spans="1:6" ht="12.75" customHeight="1" x14ac:dyDescent="0.25">
      <c r="A102" s="1325"/>
      <c r="B102" s="1325"/>
      <c r="C102" s="1325"/>
      <c r="D102" s="1325"/>
      <c r="E102" s="1325"/>
      <c r="F102" s="1325"/>
    </row>
    <row r="103" spans="1:6" ht="12.75" customHeight="1" x14ac:dyDescent="0.25">
      <c r="A103" s="1325"/>
      <c r="B103" s="1325"/>
      <c r="C103" s="1325"/>
      <c r="D103" s="1325"/>
      <c r="E103" s="1325"/>
      <c r="F103" s="1325"/>
    </row>
    <row r="104" spans="1:6" ht="12.75" customHeight="1" x14ac:dyDescent="0.25">
      <c r="A104" s="1325"/>
      <c r="B104" s="1325"/>
      <c r="C104" s="1325"/>
      <c r="D104" s="1325"/>
      <c r="E104" s="1325"/>
      <c r="F104" s="1325"/>
    </row>
    <row r="105" spans="1:6" ht="12.75" customHeight="1" x14ac:dyDescent="0.25">
      <c r="A105" s="1325"/>
      <c r="B105" s="1325"/>
      <c r="C105" s="1325"/>
      <c r="D105" s="1325"/>
      <c r="E105" s="1325"/>
      <c r="F105" s="1325"/>
    </row>
    <row r="106" spans="1:6" ht="12.75" customHeight="1" x14ac:dyDescent="0.25">
      <c r="A106" s="1325"/>
      <c r="B106" s="1325"/>
      <c r="C106" s="1325"/>
      <c r="D106" s="1325"/>
      <c r="E106" s="1325"/>
      <c r="F106" s="1325"/>
    </row>
    <row r="107" spans="1:6" ht="12.75" customHeight="1" x14ac:dyDescent="0.25">
      <c r="A107" s="1325"/>
      <c r="B107" s="1325"/>
      <c r="C107" s="1325"/>
      <c r="D107" s="1325"/>
      <c r="E107" s="1325"/>
      <c r="F107" s="1325"/>
    </row>
    <row r="108" spans="1:6" ht="12.75" customHeight="1" x14ac:dyDescent="0.25">
      <c r="A108" s="1325"/>
      <c r="B108" s="1325"/>
      <c r="C108" s="1325"/>
      <c r="D108" s="1325"/>
      <c r="E108" s="1325"/>
      <c r="F108" s="1325"/>
    </row>
    <row r="109" spans="1:6" ht="12.75" customHeight="1" x14ac:dyDescent="0.25">
      <c r="A109" s="1325"/>
      <c r="B109" s="1325"/>
      <c r="C109" s="1325"/>
      <c r="D109" s="1325"/>
      <c r="E109" s="1325"/>
      <c r="F109" s="1325"/>
    </row>
    <row r="110" spans="1:6" x14ac:dyDescent="0.2">
      <c r="E110" s="1938" t="s">
        <v>802</v>
      </c>
      <c r="F110" s="1938"/>
    </row>
    <row r="111" spans="1:6" ht="66" customHeight="1" x14ac:dyDescent="0.2">
      <c r="A111" s="1939" t="s">
        <v>1663</v>
      </c>
      <c r="B111" s="1939"/>
      <c r="C111" s="1939"/>
      <c r="D111" s="1939"/>
      <c r="E111" s="1939"/>
      <c r="F111" s="1939"/>
    </row>
    <row r="112" spans="1:6" ht="12.75" customHeight="1" x14ac:dyDescent="0.25">
      <c r="A112" s="1325"/>
      <c r="B112" s="1325"/>
      <c r="C112" s="1325"/>
      <c r="D112" s="1325"/>
      <c r="E112" s="1325"/>
      <c r="F112" s="1325"/>
    </row>
    <row r="113" spans="1:8" ht="15.75" x14ac:dyDescent="0.25">
      <c r="A113" s="1954" t="s">
        <v>1667</v>
      </c>
      <c r="B113" s="1954"/>
      <c r="C113" s="1954"/>
      <c r="D113" s="1954"/>
      <c r="E113" s="1954"/>
      <c r="F113" s="1954"/>
    </row>
    <row r="114" spans="1:8" ht="12.75" customHeight="1" x14ac:dyDescent="0.25">
      <c r="A114" s="1325"/>
      <c r="B114" s="1325"/>
      <c r="C114" s="1325"/>
      <c r="D114" s="1325"/>
      <c r="E114" s="1325"/>
      <c r="F114" s="1325"/>
    </row>
    <row r="115" spans="1:8" x14ac:dyDescent="0.2">
      <c r="A115" s="1937" t="s">
        <v>615</v>
      </c>
      <c r="B115" s="1937"/>
      <c r="C115" s="1937"/>
      <c r="D115" s="1937"/>
      <c r="E115" s="1937"/>
      <c r="F115" s="1937"/>
    </row>
    <row r="116" spans="1:8" ht="13.5" thickBot="1" x14ac:dyDescent="0.25">
      <c r="A116" s="887"/>
      <c r="B116" s="887"/>
      <c r="C116" s="887"/>
      <c r="D116" s="1004"/>
      <c r="E116" s="1004"/>
      <c r="F116" s="1004"/>
    </row>
    <row r="117" spans="1:8" ht="13.5" thickBot="1" x14ac:dyDescent="0.25">
      <c r="A117" s="1676" t="s">
        <v>608</v>
      </c>
      <c r="B117" s="1681" t="s">
        <v>609</v>
      </c>
      <c r="C117" s="1682" t="s">
        <v>634</v>
      </c>
      <c r="D117" s="1681" t="s">
        <v>584</v>
      </c>
      <c r="E117" s="1940" t="s">
        <v>617</v>
      </c>
      <c r="F117" s="1941"/>
    </row>
    <row r="118" spans="1:8" x14ac:dyDescent="0.2">
      <c r="A118" s="1667">
        <v>315</v>
      </c>
      <c r="B118" s="1730" t="s">
        <v>194</v>
      </c>
      <c r="C118" s="1694" t="s">
        <v>238</v>
      </c>
      <c r="D118" s="1736">
        <f>D18+D17</f>
        <v>72983491.549999997</v>
      </c>
      <c r="E118" s="1942"/>
      <c r="F118" s="1943"/>
    </row>
    <row r="119" spans="1:8" x14ac:dyDescent="0.2">
      <c r="A119" s="1667">
        <v>317</v>
      </c>
      <c r="B119" s="1730" t="s">
        <v>193</v>
      </c>
      <c r="C119" s="1694" t="s">
        <v>635</v>
      </c>
      <c r="D119" s="1736">
        <f>D29+D30</f>
        <v>376997199.40999997</v>
      </c>
      <c r="E119" s="1942"/>
      <c r="F119" s="1943"/>
    </row>
    <row r="120" spans="1:8" x14ac:dyDescent="0.2">
      <c r="A120" s="1667">
        <v>322</v>
      </c>
      <c r="B120" s="1730" t="s">
        <v>1731</v>
      </c>
      <c r="C120" s="1694" t="s">
        <v>2014</v>
      </c>
      <c r="D120" s="1736">
        <f>D36</f>
        <v>47954391.439999998</v>
      </c>
      <c r="E120" s="1942"/>
      <c r="F120" s="1943"/>
    </row>
    <row r="121" spans="1:8" x14ac:dyDescent="0.2">
      <c r="A121" s="1667">
        <v>329</v>
      </c>
      <c r="B121" s="1730" t="s">
        <v>790</v>
      </c>
      <c r="C121" s="1694" t="s">
        <v>786</v>
      </c>
      <c r="D121" s="1736">
        <f>D42</f>
        <v>3033803</v>
      </c>
      <c r="E121" s="1942"/>
      <c r="F121" s="1943"/>
    </row>
    <row r="122" spans="1:8" x14ac:dyDescent="0.2">
      <c r="A122" s="1667">
        <v>333</v>
      </c>
      <c r="B122" s="1730" t="s">
        <v>190</v>
      </c>
      <c r="C122" s="1694" t="s">
        <v>613</v>
      </c>
      <c r="D122" s="1736">
        <f>D51+D52</f>
        <v>39512.870000000003</v>
      </c>
      <c r="E122" s="1942"/>
      <c r="F122" s="1943"/>
    </row>
    <row r="123" spans="1:8" x14ac:dyDescent="0.2">
      <c r="A123" s="1667" t="s">
        <v>75</v>
      </c>
      <c r="B123" s="1731" t="s">
        <v>188</v>
      </c>
      <c r="C123" s="1694" t="s">
        <v>723</v>
      </c>
      <c r="D123" s="1736">
        <v>0</v>
      </c>
      <c r="E123" s="1942"/>
      <c r="F123" s="1943"/>
    </row>
    <row r="124" spans="1:8" x14ac:dyDescent="0.2">
      <c r="A124" s="1667" t="s">
        <v>75</v>
      </c>
      <c r="B124" s="1731" t="s">
        <v>319</v>
      </c>
      <c r="C124" s="1694" t="s">
        <v>320</v>
      </c>
      <c r="D124" s="1686">
        <f>D62</f>
        <v>243604383.5</v>
      </c>
      <c r="E124" s="1942"/>
      <c r="F124" s="1943"/>
    </row>
    <row r="125" spans="1:8" x14ac:dyDescent="0.2">
      <c r="A125" s="1667" t="s">
        <v>75</v>
      </c>
      <c r="B125" s="1731" t="s">
        <v>652</v>
      </c>
      <c r="C125" s="1694" t="s">
        <v>672</v>
      </c>
      <c r="D125" s="1686">
        <f>0</f>
        <v>0</v>
      </c>
      <c r="E125" s="1942"/>
      <c r="F125" s="1943"/>
    </row>
    <row r="126" spans="1:8" ht="13.5" thickBot="1" x14ac:dyDescent="0.25">
      <c r="A126" s="1732" t="s">
        <v>75</v>
      </c>
      <c r="B126" s="1733"/>
      <c r="C126" s="1734" t="s">
        <v>677</v>
      </c>
      <c r="D126" s="1686">
        <f>D82</f>
        <v>0</v>
      </c>
      <c r="E126" s="1942"/>
      <c r="F126" s="1943"/>
    </row>
    <row r="127" spans="1:8" ht="13.5" thickBot="1" x14ac:dyDescent="0.25">
      <c r="A127" s="1676" t="s">
        <v>75</v>
      </c>
      <c r="B127" s="1682" t="s">
        <v>258</v>
      </c>
      <c r="C127" s="1735" t="s">
        <v>614</v>
      </c>
      <c r="D127" s="1721">
        <f>SUM(D118:D126)</f>
        <v>744612781.76999998</v>
      </c>
      <c r="E127" s="1944"/>
      <c r="F127" s="1945"/>
      <c r="H127" s="1729"/>
    </row>
    <row r="128" spans="1:8" ht="12.75" customHeight="1" x14ac:dyDescent="0.2">
      <c r="A128" s="1679"/>
      <c r="B128" s="1679"/>
      <c r="C128" s="1737"/>
      <c r="D128" s="1722"/>
      <c r="E128" s="1701"/>
      <c r="F128" s="1701"/>
    </row>
    <row r="129" spans="1:8" x14ac:dyDescent="0.2">
      <c r="A129" s="1937" t="s">
        <v>616</v>
      </c>
      <c r="B129" s="1937"/>
      <c r="C129" s="1937"/>
      <c r="D129" s="1937"/>
      <c r="E129" s="1937"/>
      <c r="F129" s="1937"/>
    </row>
    <row r="130" spans="1:8" ht="13.5" thickBot="1" x14ac:dyDescent="0.25">
      <c r="A130" s="887"/>
      <c r="B130" s="887"/>
      <c r="C130" s="887"/>
      <c r="D130" s="1004"/>
      <c r="E130" s="1004"/>
      <c r="F130" s="1004"/>
    </row>
    <row r="131" spans="1:8" ht="13.5" customHeight="1" thickBot="1" x14ac:dyDescent="0.25">
      <c r="A131" s="1676" t="s">
        <v>608</v>
      </c>
      <c r="B131" s="1681" t="s">
        <v>609</v>
      </c>
      <c r="C131" s="1682" t="s">
        <v>634</v>
      </c>
      <c r="D131" s="1681" t="s">
        <v>584</v>
      </c>
      <c r="E131" s="1940" t="s">
        <v>617</v>
      </c>
      <c r="F131" s="1941"/>
    </row>
    <row r="132" spans="1:8" x14ac:dyDescent="0.2">
      <c r="A132" s="1667">
        <v>313</v>
      </c>
      <c r="B132" s="1730" t="s">
        <v>191</v>
      </c>
      <c r="C132" s="1694" t="s">
        <v>151</v>
      </c>
      <c r="D132" s="1686">
        <f>D11</f>
        <v>5955441.4800000004</v>
      </c>
      <c r="E132" s="1942"/>
      <c r="F132" s="1943"/>
    </row>
    <row r="133" spans="1:8" x14ac:dyDescent="0.2">
      <c r="A133" s="1667">
        <v>315</v>
      </c>
      <c r="B133" s="1730" t="s">
        <v>194</v>
      </c>
      <c r="C133" s="1694" t="s">
        <v>238</v>
      </c>
      <c r="D133" s="1686">
        <f>D19</f>
        <v>77864958.730000004</v>
      </c>
      <c r="E133" s="1942"/>
      <c r="F133" s="1943"/>
    </row>
    <row r="134" spans="1:8" x14ac:dyDescent="0.2">
      <c r="A134" s="1667">
        <v>317</v>
      </c>
      <c r="B134" s="1730" t="s">
        <v>193</v>
      </c>
      <c r="C134" s="1694" t="s">
        <v>635</v>
      </c>
      <c r="D134" s="1686">
        <f>D31</f>
        <v>393522611.85999995</v>
      </c>
      <c r="E134" s="1942"/>
      <c r="F134" s="1943"/>
    </row>
    <row r="135" spans="1:8" x14ac:dyDescent="0.2">
      <c r="A135" s="1667">
        <v>322</v>
      </c>
      <c r="B135" s="1730" t="s">
        <v>1731</v>
      </c>
      <c r="C135" s="1694" t="s">
        <v>2014</v>
      </c>
      <c r="D135" s="1736">
        <f>D37</f>
        <v>47954391.439999998</v>
      </c>
      <c r="E135" s="1942"/>
      <c r="F135" s="1943"/>
    </row>
    <row r="136" spans="1:8" x14ac:dyDescent="0.2">
      <c r="A136" s="1667">
        <v>329</v>
      </c>
      <c r="B136" s="1730" t="s">
        <v>790</v>
      </c>
      <c r="C136" s="1694" t="s">
        <v>786</v>
      </c>
      <c r="D136" s="1686">
        <f>D43</f>
        <v>3033803</v>
      </c>
      <c r="E136" s="1942"/>
      <c r="F136" s="1943"/>
    </row>
    <row r="137" spans="1:8" x14ac:dyDescent="0.2">
      <c r="A137" s="1667">
        <v>333</v>
      </c>
      <c r="B137" s="1730" t="s">
        <v>190</v>
      </c>
      <c r="C137" s="1694" t="s">
        <v>613</v>
      </c>
      <c r="D137" s="1686">
        <f>D54</f>
        <v>31130726.890000001</v>
      </c>
      <c r="E137" s="1942"/>
      <c r="F137" s="1943"/>
    </row>
    <row r="138" spans="1:8" x14ac:dyDescent="0.2">
      <c r="A138" s="1667" t="s">
        <v>75</v>
      </c>
      <c r="B138" s="1731" t="s">
        <v>319</v>
      </c>
      <c r="C138" s="1694" t="s">
        <v>320</v>
      </c>
      <c r="D138" s="1686">
        <f>D63</f>
        <v>255897987.38</v>
      </c>
      <c r="E138" s="1942"/>
      <c r="F138" s="1943"/>
    </row>
    <row r="139" spans="1:8" x14ac:dyDescent="0.2">
      <c r="A139" s="1667" t="s">
        <v>75</v>
      </c>
      <c r="B139" s="1731" t="s">
        <v>188</v>
      </c>
      <c r="C139" s="1694" t="s">
        <v>723</v>
      </c>
      <c r="D139" s="1686">
        <f>D70</f>
        <v>230541.3</v>
      </c>
      <c r="E139" s="1942"/>
      <c r="F139" s="1943"/>
    </row>
    <row r="140" spans="1:8" x14ac:dyDescent="0.2">
      <c r="A140" s="1667" t="s">
        <v>75</v>
      </c>
      <c r="B140" s="1731" t="s">
        <v>652</v>
      </c>
      <c r="C140" s="1694" t="s">
        <v>672</v>
      </c>
      <c r="D140" s="1686">
        <f>D76</f>
        <v>2547638.54</v>
      </c>
      <c r="E140" s="1942"/>
      <c r="F140" s="1943"/>
    </row>
    <row r="141" spans="1:8" ht="13.5" thickBot="1" x14ac:dyDescent="0.25">
      <c r="A141" s="1732" t="s">
        <v>75</v>
      </c>
      <c r="B141" s="1733"/>
      <c r="C141" s="1734" t="s">
        <v>677</v>
      </c>
      <c r="D141" s="1686">
        <f>D83</f>
        <v>270470.99</v>
      </c>
      <c r="E141" s="1942"/>
      <c r="F141" s="1943"/>
    </row>
    <row r="142" spans="1:8" ht="13.5" thickBot="1" x14ac:dyDescent="0.25">
      <c r="A142" s="1676" t="s">
        <v>75</v>
      </c>
      <c r="B142" s="1682" t="s">
        <v>258</v>
      </c>
      <c r="C142" s="1735" t="s">
        <v>614</v>
      </c>
      <c r="D142" s="1721">
        <f>SUM(D132:D141)</f>
        <v>818408571.6099999</v>
      </c>
      <c r="E142" s="1944"/>
      <c r="F142" s="1945"/>
      <c r="H142" s="1729"/>
    </row>
    <row r="144" spans="1:8" x14ac:dyDescent="0.2">
      <c r="D144" s="1729"/>
    </row>
    <row r="145" spans="4:4" x14ac:dyDescent="0.2">
      <c r="D145" s="958"/>
    </row>
    <row r="146" spans="4:4" x14ac:dyDescent="0.2">
      <c r="D146" s="958"/>
    </row>
    <row r="147" spans="4:4" x14ac:dyDescent="0.2">
      <c r="D147" s="1008"/>
    </row>
    <row r="148" spans="4:4" x14ac:dyDescent="0.2">
      <c r="D148" s="1008"/>
    </row>
    <row r="149" spans="4:4" x14ac:dyDescent="0.2">
      <c r="D149" s="1008"/>
    </row>
    <row r="150" spans="4:4" x14ac:dyDescent="0.2">
      <c r="D150" s="1008"/>
    </row>
    <row r="151" spans="4:4" x14ac:dyDescent="0.2">
      <c r="D151" s="958"/>
    </row>
    <row r="152" spans="4:4" x14ac:dyDescent="0.2">
      <c r="D152" s="1008"/>
    </row>
    <row r="153" spans="4:4" x14ac:dyDescent="0.2">
      <c r="D153" s="958"/>
    </row>
    <row r="154" spans="4:4" x14ac:dyDescent="0.2">
      <c r="D154" s="958"/>
    </row>
    <row r="155" spans="4:4" x14ac:dyDescent="0.2">
      <c r="D155" s="958"/>
    </row>
    <row r="157" spans="4:4" x14ac:dyDescent="0.2">
      <c r="D157" s="1729"/>
    </row>
  </sheetData>
  <mergeCells count="44">
    <mergeCell ref="E131:F142"/>
    <mergeCell ref="E110:F110"/>
    <mergeCell ref="A111:F111"/>
    <mergeCell ref="A113:F113"/>
    <mergeCell ref="A115:F115"/>
    <mergeCell ref="E117:F127"/>
    <mergeCell ref="A129:F129"/>
    <mergeCell ref="E91:F101"/>
    <mergeCell ref="A65:F65"/>
    <mergeCell ref="E67:F70"/>
    <mergeCell ref="B70:C70"/>
    <mergeCell ref="A72:F72"/>
    <mergeCell ref="E74:F76"/>
    <mergeCell ref="B76:C76"/>
    <mergeCell ref="A78:F78"/>
    <mergeCell ref="E80:F83"/>
    <mergeCell ref="B83:C83"/>
    <mergeCell ref="A87:F87"/>
    <mergeCell ref="A89:F89"/>
    <mergeCell ref="E60:F63"/>
    <mergeCell ref="B63:C63"/>
    <mergeCell ref="E35:F37"/>
    <mergeCell ref="B37:C37"/>
    <mergeCell ref="A39:F39"/>
    <mergeCell ref="E41:F43"/>
    <mergeCell ref="B43:C43"/>
    <mergeCell ref="A45:F45"/>
    <mergeCell ref="E47:F54"/>
    <mergeCell ref="B54:C54"/>
    <mergeCell ref="E55:F55"/>
    <mergeCell ref="A56:F56"/>
    <mergeCell ref="A58:F58"/>
    <mergeCell ref="A33:F33"/>
    <mergeCell ref="E1:F1"/>
    <mergeCell ref="A2:F2"/>
    <mergeCell ref="A4:F4"/>
    <mergeCell ref="E6:F11"/>
    <mergeCell ref="B11:C11"/>
    <mergeCell ref="A13:F13"/>
    <mergeCell ref="E15:F19"/>
    <mergeCell ref="B19:C19"/>
    <mergeCell ref="A21:F21"/>
    <mergeCell ref="E23:F31"/>
    <mergeCell ref="B31:C31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5"/>
  <sheetViews>
    <sheetView topLeftCell="A79" zoomScaleNormal="100" workbookViewId="0">
      <selection activeCell="A94" sqref="A94:H128"/>
    </sheetView>
  </sheetViews>
  <sheetFormatPr defaultRowHeight="12.75" x14ac:dyDescent="0.2"/>
  <cols>
    <col min="1" max="1" width="3.140625" customWidth="1"/>
    <col min="2" max="2" width="77.7109375" customWidth="1"/>
    <col min="3" max="3" width="10.42578125" customWidth="1"/>
    <col min="4" max="4" width="10" style="1124" customWidth="1"/>
    <col min="5" max="5" width="12.28515625" bestFit="1" customWidth="1"/>
    <col min="6" max="6" width="12.5703125" customWidth="1"/>
    <col min="7" max="7" width="13.140625" customWidth="1"/>
    <col min="8" max="8" width="11.28515625" customWidth="1"/>
    <col min="9" max="9" width="12.7109375" style="8" customWidth="1"/>
    <col min="10" max="10" width="12.7109375" style="1198" bestFit="1" customWidth="1"/>
    <col min="11" max="11" width="10.7109375" bestFit="1" customWidth="1"/>
    <col min="12" max="12" width="10.140625" bestFit="1" customWidth="1"/>
  </cols>
  <sheetData>
    <row r="1" spans="1:11" x14ac:dyDescent="0.2">
      <c r="H1" s="322" t="s">
        <v>803</v>
      </c>
    </row>
    <row r="3" spans="1:11" ht="18" x14ac:dyDescent="0.25">
      <c r="A3" s="1963" t="s">
        <v>1674</v>
      </c>
      <c r="B3" s="1963"/>
      <c r="C3" s="1963"/>
      <c r="D3" s="1963"/>
      <c r="E3" s="1963"/>
      <c r="F3" s="1963"/>
      <c r="G3" s="1963"/>
      <c r="I3" s="1104"/>
    </row>
    <row r="4" spans="1:11" ht="15.75" thickBot="1" x14ac:dyDescent="0.25">
      <c r="A4" s="177"/>
      <c r="B4" s="177"/>
      <c r="C4" s="177"/>
      <c r="D4" s="1151"/>
      <c r="E4" s="177"/>
      <c r="F4" s="177"/>
      <c r="G4" s="177"/>
    </row>
    <row r="5" spans="1:11" ht="13.5" customHeight="1" thickBot="1" x14ac:dyDescent="0.25">
      <c r="A5" s="1973" t="s">
        <v>462</v>
      </c>
      <c r="B5" s="1987" t="s">
        <v>86</v>
      </c>
      <c r="C5" s="178" t="s">
        <v>463</v>
      </c>
      <c r="D5" s="1976" t="s">
        <v>464</v>
      </c>
      <c r="E5" s="1979" t="s">
        <v>1676</v>
      </c>
      <c r="F5" s="1982" t="s">
        <v>1686</v>
      </c>
      <c r="G5" s="1983"/>
      <c r="H5" s="1984"/>
    </row>
    <row r="6" spans="1:11" ht="11.25" customHeight="1" x14ac:dyDescent="0.2">
      <c r="A6" s="1974"/>
      <c r="B6" s="1988"/>
      <c r="C6" s="179" t="s">
        <v>1675</v>
      </c>
      <c r="D6" s="1977"/>
      <c r="E6" s="1980"/>
      <c r="F6" s="1985" t="s">
        <v>465</v>
      </c>
      <c r="G6" s="1976" t="s">
        <v>466</v>
      </c>
      <c r="H6" s="1969" t="s">
        <v>467</v>
      </c>
    </row>
    <row r="7" spans="1:11" ht="13.5" thickBot="1" x14ac:dyDescent="0.25">
      <c r="A7" s="1975"/>
      <c r="B7" s="1989"/>
      <c r="C7" s="180" t="s">
        <v>468</v>
      </c>
      <c r="D7" s="1978"/>
      <c r="E7" s="1981"/>
      <c r="F7" s="1986"/>
      <c r="G7" s="1978"/>
      <c r="H7" s="1970"/>
    </row>
    <row r="8" spans="1:11" ht="12.75" customHeight="1" x14ac:dyDescent="0.2">
      <c r="A8" s="1739">
        <v>1</v>
      </c>
      <c r="B8" s="1117" t="s">
        <v>469</v>
      </c>
      <c r="C8" s="182">
        <v>44657</v>
      </c>
      <c r="D8" s="1152" t="s">
        <v>1673</v>
      </c>
      <c r="E8" s="723">
        <v>23152</v>
      </c>
      <c r="F8" s="236">
        <v>23152</v>
      </c>
      <c r="G8" s="207">
        <v>0</v>
      </c>
      <c r="H8" s="1125">
        <v>0</v>
      </c>
      <c r="I8" s="699"/>
      <c r="J8" s="1199"/>
      <c r="K8" s="699"/>
    </row>
    <row r="9" spans="1:11" ht="12.75" customHeight="1" x14ac:dyDescent="0.2">
      <c r="A9" s="1740">
        <v>2</v>
      </c>
      <c r="B9" s="1102" t="s">
        <v>1677</v>
      </c>
      <c r="C9" s="182">
        <v>44657</v>
      </c>
      <c r="D9" s="1152" t="s">
        <v>1673</v>
      </c>
      <c r="E9" s="184">
        <v>69991.59</v>
      </c>
      <c r="F9" s="185">
        <v>0</v>
      </c>
      <c r="G9" s="196">
        <v>0</v>
      </c>
      <c r="H9" s="1111">
        <v>69991.59</v>
      </c>
      <c r="I9" s="699"/>
      <c r="J9" s="1199"/>
      <c r="K9" s="699"/>
    </row>
    <row r="10" spans="1:11" ht="12.75" customHeight="1" x14ac:dyDescent="0.2">
      <c r="A10" s="1740">
        <v>3</v>
      </c>
      <c r="B10" s="1102" t="s">
        <v>470</v>
      </c>
      <c r="C10" s="182">
        <v>44657</v>
      </c>
      <c r="D10" s="1152" t="s">
        <v>1673</v>
      </c>
      <c r="E10" s="723">
        <v>57384.5</v>
      </c>
      <c r="F10" s="1112">
        <v>0</v>
      </c>
      <c r="G10" s="196">
        <v>0</v>
      </c>
      <c r="H10" s="1103">
        <v>57384.5</v>
      </c>
      <c r="I10" s="699"/>
      <c r="J10" s="1199"/>
      <c r="K10" s="699"/>
    </row>
    <row r="11" spans="1:11" ht="12.75" customHeight="1" x14ac:dyDescent="0.2">
      <c r="A11" s="1740">
        <v>4</v>
      </c>
      <c r="B11" s="181" t="s">
        <v>658</v>
      </c>
      <c r="C11" s="182">
        <v>44657</v>
      </c>
      <c r="D11" s="1152" t="s">
        <v>1673</v>
      </c>
      <c r="E11" s="1109">
        <v>393113.26</v>
      </c>
      <c r="F11" s="185">
        <v>393082.26</v>
      </c>
      <c r="G11" s="196">
        <v>31</v>
      </c>
      <c r="H11" s="187">
        <v>0</v>
      </c>
      <c r="J11" s="1199"/>
      <c r="K11" s="699"/>
    </row>
    <row r="12" spans="1:11" x14ac:dyDescent="0.2">
      <c r="A12" s="1740">
        <v>5</v>
      </c>
      <c r="B12" s="188" t="s">
        <v>471</v>
      </c>
      <c r="C12" s="182">
        <v>44657</v>
      </c>
      <c r="D12" s="1152" t="s">
        <v>1673</v>
      </c>
      <c r="E12" s="189">
        <v>77910.97</v>
      </c>
      <c r="F12" s="190">
        <v>63910.97</v>
      </c>
      <c r="G12" s="183">
        <v>14000</v>
      </c>
      <c r="H12" s="191">
        <v>0</v>
      </c>
      <c r="J12" s="1199"/>
      <c r="K12" s="699"/>
    </row>
    <row r="13" spans="1:11" x14ac:dyDescent="0.2">
      <c r="A13" s="1740">
        <v>6</v>
      </c>
      <c r="B13" s="181" t="s">
        <v>472</v>
      </c>
      <c r="C13" s="182">
        <v>44657</v>
      </c>
      <c r="D13" s="1152" t="s">
        <v>1673</v>
      </c>
      <c r="E13" s="192">
        <v>37252.089999999997</v>
      </c>
      <c r="F13" s="193">
        <v>37252.089999999997</v>
      </c>
      <c r="G13" s="194">
        <v>0</v>
      </c>
      <c r="H13" s="187">
        <v>0</v>
      </c>
      <c r="J13" s="1199"/>
      <c r="K13" s="699"/>
    </row>
    <row r="14" spans="1:11" ht="12.75" customHeight="1" x14ac:dyDescent="0.2">
      <c r="A14" s="1740">
        <v>7</v>
      </c>
      <c r="B14" s="181" t="s">
        <v>473</v>
      </c>
      <c r="C14" s="182">
        <v>44657</v>
      </c>
      <c r="D14" s="1152" t="s">
        <v>1673</v>
      </c>
      <c r="E14" s="192">
        <v>466977.88000000006</v>
      </c>
      <c r="F14" s="195">
        <v>373582.3</v>
      </c>
      <c r="G14" s="186">
        <v>93395.58</v>
      </c>
      <c r="H14" s="187">
        <v>0</v>
      </c>
      <c r="J14" s="1199"/>
      <c r="K14" s="699"/>
    </row>
    <row r="15" spans="1:11" ht="12.75" customHeight="1" x14ac:dyDescent="0.2">
      <c r="A15" s="1740">
        <v>8</v>
      </c>
      <c r="B15" s="181" t="s">
        <v>474</v>
      </c>
      <c r="C15" s="182">
        <v>44657</v>
      </c>
      <c r="D15" s="1152" t="s">
        <v>1673</v>
      </c>
      <c r="E15" s="192">
        <v>19773.689999999999</v>
      </c>
      <c r="F15" s="195">
        <v>19773.689999999999</v>
      </c>
      <c r="G15" s="186">
        <v>0</v>
      </c>
      <c r="H15" s="187">
        <v>0</v>
      </c>
      <c r="J15" s="1199"/>
      <c r="K15" s="699"/>
    </row>
    <row r="16" spans="1:11" ht="12.75" customHeight="1" x14ac:dyDescent="0.2">
      <c r="A16" s="1740">
        <v>9</v>
      </c>
      <c r="B16" s="181" t="s">
        <v>659</v>
      </c>
      <c r="C16" s="182">
        <v>44657</v>
      </c>
      <c r="D16" s="1152" t="s">
        <v>1673</v>
      </c>
      <c r="E16" s="192">
        <v>195829.91</v>
      </c>
      <c r="F16" s="195">
        <v>195829.91</v>
      </c>
      <c r="G16" s="186">
        <v>0</v>
      </c>
      <c r="H16" s="187">
        <v>0</v>
      </c>
      <c r="J16" s="1199"/>
      <c r="K16" s="699"/>
    </row>
    <row r="17" spans="1:11" ht="12.75" customHeight="1" x14ac:dyDescent="0.2">
      <c r="A17" s="1740">
        <v>10</v>
      </c>
      <c r="B17" s="181" t="s">
        <v>475</v>
      </c>
      <c r="C17" s="182">
        <v>44657</v>
      </c>
      <c r="D17" s="1152" t="s">
        <v>1673</v>
      </c>
      <c r="E17" s="192">
        <v>307962.54000000004</v>
      </c>
      <c r="F17" s="195">
        <v>246370.04</v>
      </c>
      <c r="G17" s="186">
        <v>61592.5</v>
      </c>
      <c r="H17" s="187">
        <v>0</v>
      </c>
      <c r="J17" s="1199"/>
      <c r="K17" s="699"/>
    </row>
    <row r="18" spans="1:11" x14ac:dyDescent="0.2">
      <c r="A18" s="1740">
        <v>11</v>
      </c>
      <c r="B18" s="181" t="s">
        <v>476</v>
      </c>
      <c r="C18" s="182">
        <v>44657</v>
      </c>
      <c r="D18" s="1152" t="s">
        <v>1673</v>
      </c>
      <c r="E18" s="192">
        <v>163858.32</v>
      </c>
      <c r="F18" s="195">
        <v>133858.32</v>
      </c>
      <c r="G18" s="186">
        <v>30000</v>
      </c>
      <c r="H18" s="187">
        <v>0</v>
      </c>
      <c r="J18" s="1199"/>
      <c r="K18" s="699"/>
    </row>
    <row r="19" spans="1:11" x14ac:dyDescent="0.2">
      <c r="A19" s="1740">
        <v>12</v>
      </c>
      <c r="B19" s="181" t="s">
        <v>477</v>
      </c>
      <c r="C19" s="182">
        <v>44657</v>
      </c>
      <c r="D19" s="1152" t="s">
        <v>1673</v>
      </c>
      <c r="E19" s="192">
        <v>8208.17</v>
      </c>
      <c r="F19" s="195">
        <v>8208.17</v>
      </c>
      <c r="G19" s="186">
        <v>0</v>
      </c>
      <c r="H19" s="187">
        <v>0</v>
      </c>
      <c r="J19" s="1199"/>
      <c r="K19" s="699"/>
    </row>
    <row r="20" spans="1:11" x14ac:dyDescent="0.2">
      <c r="A20" s="1740">
        <v>13</v>
      </c>
      <c r="B20" s="181" t="s">
        <v>479</v>
      </c>
      <c r="C20" s="182">
        <v>44657</v>
      </c>
      <c r="D20" s="1152" t="s">
        <v>1673</v>
      </c>
      <c r="E20" s="192">
        <v>254887.32</v>
      </c>
      <c r="F20" s="195">
        <v>254887.32</v>
      </c>
      <c r="G20" s="186">
        <v>0</v>
      </c>
      <c r="H20" s="187">
        <v>0</v>
      </c>
      <c r="J20" s="1199"/>
      <c r="K20" s="699"/>
    </row>
    <row r="21" spans="1:11" x14ac:dyDescent="0.2">
      <c r="A21" s="1740">
        <v>14</v>
      </c>
      <c r="B21" s="181" t="s">
        <v>497</v>
      </c>
      <c r="C21" s="182">
        <v>44657</v>
      </c>
      <c r="D21" s="1152" t="s">
        <v>1673</v>
      </c>
      <c r="E21" s="192">
        <v>1687908.79</v>
      </c>
      <c r="F21" s="195">
        <v>1687908.79</v>
      </c>
      <c r="G21" s="186">
        <v>0</v>
      </c>
      <c r="H21" s="187">
        <v>0</v>
      </c>
      <c r="J21" s="1199"/>
      <c r="K21" s="699"/>
    </row>
    <row r="22" spans="1:11" x14ac:dyDescent="0.2">
      <c r="A22" s="1740">
        <v>15</v>
      </c>
      <c r="B22" s="181" t="s">
        <v>480</v>
      </c>
      <c r="C22" s="182">
        <v>44657</v>
      </c>
      <c r="D22" s="1152" t="s">
        <v>1673</v>
      </c>
      <c r="E22" s="192">
        <v>299800</v>
      </c>
      <c r="F22" s="195">
        <v>299800</v>
      </c>
      <c r="G22" s="186">
        <v>0</v>
      </c>
      <c r="H22" s="187">
        <v>0</v>
      </c>
      <c r="J22" s="1199"/>
      <c r="K22" s="699"/>
    </row>
    <row r="23" spans="1:11" x14ac:dyDescent="0.2">
      <c r="A23" s="1740">
        <v>16</v>
      </c>
      <c r="B23" s="181" t="s">
        <v>481</v>
      </c>
      <c r="C23" s="182">
        <v>44657</v>
      </c>
      <c r="D23" s="1152" t="s">
        <v>1673</v>
      </c>
      <c r="E23" s="192">
        <v>120430.11</v>
      </c>
      <c r="F23" s="195">
        <v>96344.08</v>
      </c>
      <c r="G23" s="186">
        <v>24086.03</v>
      </c>
      <c r="H23" s="187">
        <v>0</v>
      </c>
      <c r="J23" s="1199"/>
      <c r="K23" s="699"/>
    </row>
    <row r="24" spans="1:11" x14ac:dyDescent="0.2">
      <c r="A24" s="1740">
        <v>17</v>
      </c>
      <c r="B24" s="181" t="s">
        <v>482</v>
      </c>
      <c r="C24" s="182">
        <v>44657</v>
      </c>
      <c r="D24" s="1152" t="s">
        <v>1673</v>
      </c>
      <c r="E24" s="192">
        <v>294977.68</v>
      </c>
      <c r="F24" s="195">
        <v>235982.15</v>
      </c>
      <c r="G24" s="186">
        <v>58995.53</v>
      </c>
      <c r="H24" s="187">
        <v>0</v>
      </c>
      <c r="J24" s="1199"/>
      <c r="K24" s="699"/>
    </row>
    <row r="25" spans="1:11" x14ac:dyDescent="0.2">
      <c r="A25" s="1740">
        <v>18</v>
      </c>
      <c r="B25" s="181" t="s">
        <v>483</v>
      </c>
      <c r="C25" s="182">
        <v>44657</v>
      </c>
      <c r="D25" s="1152" t="s">
        <v>1673</v>
      </c>
      <c r="E25" s="192">
        <v>33601.600000000035</v>
      </c>
      <c r="F25" s="195">
        <v>33601.600000000035</v>
      </c>
      <c r="G25" s="186">
        <v>0</v>
      </c>
      <c r="H25" s="187">
        <v>0</v>
      </c>
      <c r="J25" s="1199"/>
      <c r="K25" s="699"/>
    </row>
    <row r="26" spans="1:11" x14ac:dyDescent="0.2">
      <c r="A26" s="1740">
        <v>19</v>
      </c>
      <c r="B26" s="181" t="s">
        <v>1698</v>
      </c>
      <c r="C26" s="182">
        <v>44657</v>
      </c>
      <c r="D26" s="1152" t="s">
        <v>1673</v>
      </c>
      <c r="E26" s="192">
        <v>28903.309999999998</v>
      </c>
      <c r="F26" s="195">
        <v>28903.309999999998</v>
      </c>
      <c r="G26" s="186">
        <v>0</v>
      </c>
      <c r="H26" s="187">
        <v>0</v>
      </c>
      <c r="J26" s="1199"/>
      <c r="K26" s="699"/>
    </row>
    <row r="27" spans="1:11" x14ac:dyDescent="0.2">
      <c r="A27" s="1740">
        <v>20</v>
      </c>
      <c r="B27" s="1102" t="s">
        <v>1683</v>
      </c>
      <c r="C27" s="182">
        <v>44657</v>
      </c>
      <c r="D27" s="1152" t="s">
        <v>1673</v>
      </c>
      <c r="E27" s="192">
        <v>60830.58</v>
      </c>
      <c r="F27" s="195">
        <v>60830.58</v>
      </c>
      <c r="G27" s="186">
        <v>0</v>
      </c>
      <c r="H27" s="187">
        <v>0</v>
      </c>
      <c r="J27" s="1199"/>
      <c r="K27" s="699"/>
    </row>
    <row r="28" spans="1:11" x14ac:dyDescent="0.2">
      <c r="A28" s="1740">
        <v>21</v>
      </c>
      <c r="B28" s="181" t="s">
        <v>484</v>
      </c>
      <c r="C28" s="182">
        <v>44657</v>
      </c>
      <c r="D28" s="1152" t="s">
        <v>1673</v>
      </c>
      <c r="E28" s="192">
        <v>205148.74</v>
      </c>
      <c r="F28" s="195">
        <v>205148.74</v>
      </c>
      <c r="G28" s="196">
        <v>0</v>
      </c>
      <c r="H28" s="187">
        <v>0</v>
      </c>
      <c r="J28" s="1199"/>
      <c r="K28" s="699"/>
    </row>
    <row r="29" spans="1:11" x14ac:dyDescent="0.2">
      <c r="A29" s="1740">
        <v>22</v>
      </c>
      <c r="B29" s="1102" t="s">
        <v>1682</v>
      </c>
      <c r="C29" s="182">
        <v>44657</v>
      </c>
      <c r="D29" s="1152" t="s">
        <v>1673</v>
      </c>
      <c r="E29" s="189">
        <v>554848.35</v>
      </c>
      <c r="F29" s="195">
        <v>554848.35</v>
      </c>
      <c r="G29" s="186">
        <v>0</v>
      </c>
      <c r="H29" s="187">
        <v>0</v>
      </c>
      <c r="J29" s="1199"/>
      <c r="K29" s="699"/>
    </row>
    <row r="30" spans="1:11" ht="12.75" customHeight="1" x14ac:dyDescent="0.2">
      <c r="A30" s="1740">
        <v>23</v>
      </c>
      <c r="B30" s="181" t="s">
        <v>485</v>
      </c>
      <c r="C30" s="182">
        <v>44657</v>
      </c>
      <c r="D30" s="1152" t="s">
        <v>1673</v>
      </c>
      <c r="E30" s="189">
        <v>575447.08000000007</v>
      </c>
      <c r="F30" s="195">
        <v>575447.08000000007</v>
      </c>
      <c r="G30" s="186">
        <v>0</v>
      </c>
      <c r="H30" s="187">
        <v>0</v>
      </c>
      <c r="J30" s="1199"/>
      <c r="K30" s="699"/>
    </row>
    <row r="31" spans="1:11" x14ac:dyDescent="0.2">
      <c r="A31" s="1740">
        <v>24</v>
      </c>
      <c r="B31" s="181" t="s">
        <v>486</v>
      </c>
      <c r="C31" s="182">
        <v>44657</v>
      </c>
      <c r="D31" s="1152" t="s">
        <v>1673</v>
      </c>
      <c r="E31" s="192">
        <v>288691.89</v>
      </c>
      <c r="F31" s="195">
        <v>238202.89</v>
      </c>
      <c r="G31" s="186">
        <v>50489</v>
      </c>
      <c r="H31" s="187">
        <v>0</v>
      </c>
      <c r="J31" s="1199"/>
      <c r="K31" s="699"/>
    </row>
    <row r="32" spans="1:11" x14ac:dyDescent="0.2">
      <c r="A32" s="1740">
        <v>25</v>
      </c>
      <c r="B32" s="181" t="s">
        <v>487</v>
      </c>
      <c r="C32" s="182">
        <v>44657</v>
      </c>
      <c r="D32" s="1152" t="s">
        <v>1673</v>
      </c>
      <c r="E32" s="197">
        <v>183127.70999999996</v>
      </c>
      <c r="F32" s="195">
        <v>183127.70999999996</v>
      </c>
      <c r="G32" s="186">
        <v>0</v>
      </c>
      <c r="H32" s="187">
        <v>0</v>
      </c>
      <c r="J32" s="1199"/>
      <c r="K32" s="699"/>
    </row>
    <row r="33" spans="1:11" x14ac:dyDescent="0.2">
      <c r="A33" s="1740">
        <v>26</v>
      </c>
      <c r="B33" s="181" t="s">
        <v>660</v>
      </c>
      <c r="C33" s="182">
        <v>44657</v>
      </c>
      <c r="D33" s="1152" t="s">
        <v>1673</v>
      </c>
      <c r="E33" s="197">
        <v>814928.41</v>
      </c>
      <c r="F33" s="195">
        <v>814928.41</v>
      </c>
      <c r="G33" s="186">
        <v>0</v>
      </c>
      <c r="H33" s="187">
        <v>0</v>
      </c>
      <c r="J33" s="1199"/>
      <c r="K33" s="699"/>
    </row>
    <row r="34" spans="1:11" x14ac:dyDescent="0.2">
      <c r="A34" s="1740">
        <v>27</v>
      </c>
      <c r="B34" s="181" t="s">
        <v>488</v>
      </c>
      <c r="C34" s="182">
        <v>44657</v>
      </c>
      <c r="D34" s="1152" t="s">
        <v>1673</v>
      </c>
      <c r="E34" s="192">
        <v>802792.9</v>
      </c>
      <c r="F34" s="195">
        <v>642234.31999999995</v>
      </c>
      <c r="G34" s="186">
        <v>160558.57999999999</v>
      </c>
      <c r="H34" s="187">
        <v>0</v>
      </c>
      <c r="J34" s="1199"/>
      <c r="K34" s="699"/>
    </row>
    <row r="35" spans="1:11" x14ac:dyDescent="0.2">
      <c r="A35" s="1740">
        <v>28</v>
      </c>
      <c r="B35" s="181" t="s">
        <v>489</v>
      </c>
      <c r="C35" s="182">
        <v>44657</v>
      </c>
      <c r="D35" s="1152" t="s">
        <v>1673</v>
      </c>
      <c r="E35" s="189">
        <v>234627.85</v>
      </c>
      <c r="F35" s="195">
        <v>187702.28</v>
      </c>
      <c r="G35" s="186">
        <v>46925.57</v>
      </c>
      <c r="H35" s="187">
        <v>0</v>
      </c>
      <c r="J35" s="1199"/>
      <c r="K35" s="699"/>
    </row>
    <row r="36" spans="1:11" x14ac:dyDescent="0.2">
      <c r="A36" s="1740">
        <v>29</v>
      </c>
      <c r="B36" s="181" t="s">
        <v>490</v>
      </c>
      <c r="C36" s="182">
        <v>44657</v>
      </c>
      <c r="D36" s="1152" t="s">
        <v>1673</v>
      </c>
      <c r="E36" s="184">
        <v>1386911.4800000002</v>
      </c>
      <c r="F36" s="195">
        <v>1386911.4800000002</v>
      </c>
      <c r="G36" s="186">
        <v>0</v>
      </c>
      <c r="H36" s="187">
        <v>0</v>
      </c>
      <c r="J36" s="1199"/>
      <c r="K36" s="699"/>
    </row>
    <row r="37" spans="1:11" x14ac:dyDescent="0.2">
      <c r="A37" s="1740">
        <v>30</v>
      </c>
      <c r="B37" s="181" t="s">
        <v>1681</v>
      </c>
      <c r="C37" s="182">
        <v>44657</v>
      </c>
      <c r="D37" s="1152" t="s">
        <v>1673</v>
      </c>
      <c r="E37" s="184">
        <v>615975.52</v>
      </c>
      <c r="F37" s="195">
        <v>492780.41600000003</v>
      </c>
      <c r="G37" s="186">
        <v>123195.10400000001</v>
      </c>
      <c r="H37" s="187">
        <v>0</v>
      </c>
      <c r="J37" s="1199"/>
      <c r="K37" s="699"/>
    </row>
    <row r="38" spans="1:11" x14ac:dyDescent="0.2">
      <c r="A38" s="1740">
        <v>31</v>
      </c>
      <c r="B38" s="181" t="s">
        <v>491</v>
      </c>
      <c r="C38" s="182">
        <v>44657</v>
      </c>
      <c r="D38" s="1152" t="s">
        <v>1673</v>
      </c>
      <c r="E38" s="192">
        <v>167392.41</v>
      </c>
      <c r="F38" s="195">
        <v>137392.41</v>
      </c>
      <c r="G38" s="196">
        <v>30000</v>
      </c>
      <c r="H38" s="187">
        <v>0</v>
      </c>
      <c r="J38" s="1199"/>
      <c r="K38" s="699"/>
    </row>
    <row r="39" spans="1:11" x14ac:dyDescent="0.2">
      <c r="A39" s="1740">
        <v>32</v>
      </c>
      <c r="B39" s="209" t="s">
        <v>554</v>
      </c>
      <c r="C39" s="182">
        <v>44657</v>
      </c>
      <c r="D39" s="1152" t="s">
        <v>1673</v>
      </c>
      <c r="E39" s="192">
        <v>663946.62</v>
      </c>
      <c r="F39" s="195">
        <v>663946.62</v>
      </c>
      <c r="G39" s="196">
        <v>0</v>
      </c>
      <c r="H39" s="187">
        <v>0</v>
      </c>
      <c r="J39" s="1199"/>
      <c r="K39" s="699"/>
    </row>
    <row r="40" spans="1:11" x14ac:dyDescent="0.2">
      <c r="A40" s="1740">
        <v>33</v>
      </c>
      <c r="B40" s="181" t="s">
        <v>492</v>
      </c>
      <c r="C40" s="182">
        <v>44657</v>
      </c>
      <c r="D40" s="1152" t="s">
        <v>1673</v>
      </c>
      <c r="E40" s="192">
        <v>1331081.74</v>
      </c>
      <c r="F40" s="1113">
        <v>1254081.74</v>
      </c>
      <c r="G40" s="199">
        <v>77000</v>
      </c>
      <c r="H40" s="187">
        <v>0</v>
      </c>
      <c r="J40" s="1199"/>
      <c r="K40" s="699"/>
    </row>
    <row r="41" spans="1:11" x14ac:dyDescent="0.2">
      <c r="A41" s="1740">
        <v>34</v>
      </c>
      <c r="B41" s="188" t="s">
        <v>1680</v>
      </c>
      <c r="C41" s="182">
        <v>44657</v>
      </c>
      <c r="D41" s="1152" t="s">
        <v>1673</v>
      </c>
      <c r="E41" s="192">
        <v>220008.57</v>
      </c>
      <c r="F41" s="1113">
        <v>176006.86</v>
      </c>
      <c r="G41" s="199">
        <v>44001.71</v>
      </c>
      <c r="H41" s="187">
        <v>0</v>
      </c>
      <c r="J41" s="1199"/>
      <c r="K41" s="699"/>
    </row>
    <row r="42" spans="1:11" ht="12.75" customHeight="1" x14ac:dyDescent="0.2">
      <c r="A42" s="1740">
        <v>35</v>
      </c>
      <c r="B42" s="188" t="s">
        <v>495</v>
      </c>
      <c r="C42" s="182">
        <v>44657</v>
      </c>
      <c r="D42" s="1152" t="s">
        <v>1673</v>
      </c>
      <c r="E42" s="189">
        <v>781028.17</v>
      </c>
      <c r="F42" s="195">
        <v>781028.17</v>
      </c>
      <c r="G42" s="186">
        <v>0</v>
      </c>
      <c r="H42" s="187">
        <v>0</v>
      </c>
      <c r="J42" s="1199"/>
      <c r="K42" s="699"/>
    </row>
    <row r="43" spans="1:11" ht="12.75" customHeight="1" thickBot="1" x14ac:dyDescent="0.25">
      <c r="A43" s="1740">
        <v>36</v>
      </c>
      <c r="B43" s="181" t="s">
        <v>496</v>
      </c>
      <c r="C43" s="182">
        <v>44657</v>
      </c>
      <c r="D43" s="1152" t="s">
        <v>1673</v>
      </c>
      <c r="E43" s="192">
        <v>1914725.4500000002</v>
      </c>
      <c r="F43" s="195">
        <v>1531780.3600000003</v>
      </c>
      <c r="G43" s="186">
        <v>382945.09000000008</v>
      </c>
      <c r="H43" s="187">
        <v>0</v>
      </c>
      <c r="J43" s="1199"/>
      <c r="K43" s="699"/>
    </row>
    <row r="44" spans="1:11" ht="12.75" customHeight="1" thickBot="1" x14ac:dyDescent="0.25">
      <c r="A44" s="1955" t="s">
        <v>493</v>
      </c>
      <c r="B44" s="1956"/>
      <c r="C44" s="1956"/>
      <c r="D44" s="1957"/>
      <c r="E44" s="202">
        <f>SUM(E8:E43)</f>
        <v>15343437.199999999</v>
      </c>
      <c r="F44" s="1148">
        <f t="shared" ref="F44:H44" si="0">SUM(F8:F43)</f>
        <v>14018845.415999997</v>
      </c>
      <c r="G44" s="1180">
        <f t="shared" si="0"/>
        <v>1197215.6940000001</v>
      </c>
      <c r="H44" s="202">
        <f t="shared" si="0"/>
        <v>127376.09</v>
      </c>
      <c r="J44" s="1199"/>
      <c r="K44" s="699"/>
    </row>
    <row r="45" spans="1:11" ht="7.5" customHeight="1" x14ac:dyDescent="0.2">
      <c r="A45" s="636"/>
      <c r="B45" s="636"/>
      <c r="C45" s="636"/>
      <c r="D45" s="1154"/>
      <c r="E45" s="637"/>
      <c r="F45" s="637"/>
      <c r="G45" s="637"/>
      <c r="H45" s="637"/>
    </row>
    <row r="46" spans="1:11" ht="12.75" customHeight="1" x14ac:dyDescent="0.2">
      <c r="H46" s="322" t="s">
        <v>804</v>
      </c>
    </row>
    <row r="47" spans="1:11" ht="12.75" customHeight="1" x14ac:dyDescent="0.2">
      <c r="H47" s="17"/>
    </row>
    <row r="48" spans="1:11" ht="18" x14ac:dyDescent="0.25">
      <c r="A48" s="1963" t="s">
        <v>1674</v>
      </c>
      <c r="B48" s="1963"/>
      <c r="C48" s="1963"/>
      <c r="D48" s="1963"/>
      <c r="E48" s="1963"/>
      <c r="F48" s="1963"/>
      <c r="G48" s="1963"/>
    </row>
    <row r="49" spans="1:11" ht="12.75" customHeight="1" thickBot="1" x14ac:dyDescent="0.25">
      <c r="A49" s="177"/>
      <c r="B49" s="177"/>
      <c r="C49" s="177"/>
      <c r="D49" s="1151"/>
      <c r="E49" s="177"/>
      <c r="F49" s="177"/>
      <c r="G49" s="177"/>
    </row>
    <row r="50" spans="1:11" ht="12.75" customHeight="1" thickBot="1" x14ac:dyDescent="0.25">
      <c r="A50" s="1973" t="s">
        <v>462</v>
      </c>
      <c r="B50" s="1987" t="s">
        <v>86</v>
      </c>
      <c r="C50" s="178" t="s">
        <v>463</v>
      </c>
      <c r="D50" s="1976" t="s">
        <v>464</v>
      </c>
      <c r="E50" s="1979" t="s">
        <v>1676</v>
      </c>
      <c r="F50" s="1982" t="s">
        <v>1686</v>
      </c>
      <c r="G50" s="1983"/>
      <c r="H50" s="1984"/>
    </row>
    <row r="51" spans="1:11" ht="12.75" customHeight="1" x14ac:dyDescent="0.2">
      <c r="A51" s="1974"/>
      <c r="B51" s="1988"/>
      <c r="C51" s="179" t="s">
        <v>1675</v>
      </c>
      <c r="D51" s="1977"/>
      <c r="E51" s="1980"/>
      <c r="F51" s="1985" t="s">
        <v>465</v>
      </c>
      <c r="G51" s="1976" t="s">
        <v>466</v>
      </c>
      <c r="H51" s="1969" t="s">
        <v>467</v>
      </c>
    </row>
    <row r="52" spans="1:11" ht="12.75" customHeight="1" x14ac:dyDescent="0.2">
      <c r="A52" s="1974"/>
      <c r="B52" s="1988"/>
      <c r="C52" s="179" t="s">
        <v>468</v>
      </c>
      <c r="D52" s="1977"/>
      <c r="E52" s="1980"/>
      <c r="F52" s="1992"/>
      <c r="G52" s="1977"/>
      <c r="H52" s="1993"/>
    </row>
    <row r="53" spans="1:11" ht="12.75" customHeight="1" x14ac:dyDescent="0.2">
      <c r="A53" s="1990" t="s">
        <v>494</v>
      </c>
      <c r="B53" s="1991"/>
      <c r="C53" s="1991"/>
      <c r="D53" s="1991"/>
      <c r="E53" s="1181">
        <f>E44</f>
        <v>15343437.199999999</v>
      </c>
      <c r="F53" s="1182">
        <f>F44</f>
        <v>14018845.415999997</v>
      </c>
      <c r="G53" s="1183">
        <f>G44</f>
        <v>1197215.6940000001</v>
      </c>
      <c r="H53" s="1741">
        <f>H44</f>
        <v>127376.09</v>
      </c>
    </row>
    <row r="54" spans="1:11" ht="12.75" customHeight="1" x14ac:dyDescent="0.2">
      <c r="A54" s="1739">
        <v>37</v>
      </c>
      <c r="B54" s="188" t="s">
        <v>498</v>
      </c>
      <c r="C54" s="182">
        <v>44657</v>
      </c>
      <c r="D54" s="1152" t="s">
        <v>1673</v>
      </c>
      <c r="E54" s="189">
        <v>288826.98000000004</v>
      </c>
      <c r="F54" s="1112">
        <v>288826.98000000004</v>
      </c>
      <c r="G54" s="183">
        <v>0</v>
      </c>
      <c r="H54" s="191">
        <v>0</v>
      </c>
      <c r="J54" s="1199"/>
      <c r="K54" s="699"/>
    </row>
    <row r="55" spans="1:11" ht="12.75" customHeight="1" x14ac:dyDescent="0.2">
      <c r="A55" s="1740">
        <v>38</v>
      </c>
      <c r="B55" s="181" t="s">
        <v>499</v>
      </c>
      <c r="C55" s="182">
        <v>44657</v>
      </c>
      <c r="D55" s="1152" t="s">
        <v>1673</v>
      </c>
      <c r="E55" s="192">
        <v>331237.07</v>
      </c>
      <c r="F55" s="185">
        <v>331237.07</v>
      </c>
      <c r="G55" s="186">
        <v>0</v>
      </c>
      <c r="H55" s="187">
        <v>0</v>
      </c>
      <c r="J55" s="1199"/>
      <c r="K55" s="699"/>
    </row>
    <row r="56" spans="1:11" ht="12.75" customHeight="1" x14ac:dyDescent="0.2">
      <c r="A56" s="1740">
        <v>39</v>
      </c>
      <c r="B56" s="181" t="s">
        <v>500</v>
      </c>
      <c r="C56" s="182">
        <v>44657</v>
      </c>
      <c r="D56" s="1152" t="s">
        <v>1673</v>
      </c>
      <c r="E56" s="192">
        <v>433</v>
      </c>
      <c r="F56" s="185">
        <v>433</v>
      </c>
      <c r="G56" s="186">
        <v>0</v>
      </c>
      <c r="H56" s="187">
        <v>0</v>
      </c>
      <c r="J56" s="1199"/>
      <c r="K56" s="699"/>
    </row>
    <row r="57" spans="1:11" ht="12.75" customHeight="1" x14ac:dyDescent="0.2">
      <c r="A57" s="1740">
        <v>40</v>
      </c>
      <c r="B57" s="181" t="s">
        <v>501</v>
      </c>
      <c r="C57" s="698">
        <v>44657</v>
      </c>
      <c r="D57" s="1158" t="s">
        <v>1673</v>
      </c>
      <c r="E57" s="192">
        <v>87.63</v>
      </c>
      <c r="F57" s="185">
        <v>87.63</v>
      </c>
      <c r="G57" s="186">
        <v>0</v>
      </c>
      <c r="H57" s="187">
        <v>0</v>
      </c>
      <c r="J57" s="1199"/>
      <c r="K57" s="699"/>
    </row>
    <row r="58" spans="1:11" ht="12.75" customHeight="1" x14ac:dyDescent="0.2">
      <c r="A58" s="198">
        <v>41</v>
      </c>
      <c r="B58" s="188" t="s">
        <v>502</v>
      </c>
      <c r="C58" s="182">
        <v>44657</v>
      </c>
      <c r="D58" s="1155" t="s">
        <v>1673</v>
      </c>
      <c r="E58" s="189">
        <v>0</v>
      </c>
      <c r="F58" s="236">
        <v>0</v>
      </c>
      <c r="G58" s="183">
        <v>0</v>
      </c>
      <c r="H58" s="191">
        <v>0</v>
      </c>
    </row>
    <row r="59" spans="1:11" ht="12.75" customHeight="1" x14ac:dyDescent="0.2">
      <c r="A59" s="198">
        <v>42</v>
      </c>
      <c r="B59" s="181" t="s">
        <v>503</v>
      </c>
      <c r="C59" s="182">
        <v>44657</v>
      </c>
      <c r="D59" s="1155" t="s">
        <v>1673</v>
      </c>
      <c r="E59" s="192">
        <v>1960</v>
      </c>
      <c r="F59" s="185">
        <v>1960</v>
      </c>
      <c r="G59" s="196">
        <v>0</v>
      </c>
      <c r="H59" s="187">
        <v>0</v>
      </c>
    </row>
    <row r="60" spans="1:11" ht="12.75" customHeight="1" x14ac:dyDescent="0.2">
      <c r="A60" s="198">
        <v>43</v>
      </c>
      <c r="B60" s="181" t="s">
        <v>1685</v>
      </c>
      <c r="C60" s="182">
        <v>44657</v>
      </c>
      <c r="D60" s="1155" t="s">
        <v>1673</v>
      </c>
      <c r="E60" s="192">
        <v>99718.6</v>
      </c>
      <c r="F60" s="185">
        <v>99718.6</v>
      </c>
      <c r="G60" s="196">
        <v>0</v>
      </c>
      <c r="H60" s="187">
        <v>0</v>
      </c>
    </row>
    <row r="61" spans="1:11" ht="12.75" customHeight="1" x14ac:dyDescent="0.2">
      <c r="A61" s="200">
        <v>44</v>
      </c>
      <c r="B61" s="181" t="s">
        <v>504</v>
      </c>
      <c r="C61" s="182">
        <v>44657</v>
      </c>
      <c r="D61" s="1155" t="s">
        <v>1673</v>
      </c>
      <c r="E61" s="192">
        <v>0</v>
      </c>
      <c r="F61" s="185">
        <v>0</v>
      </c>
      <c r="G61" s="196">
        <v>0</v>
      </c>
      <c r="H61" s="187">
        <v>0</v>
      </c>
    </row>
    <row r="62" spans="1:11" ht="12.75" customHeight="1" x14ac:dyDescent="0.2">
      <c r="A62" s="198">
        <v>45</v>
      </c>
      <c r="B62" s="181" t="s">
        <v>505</v>
      </c>
      <c r="C62" s="182">
        <v>44657</v>
      </c>
      <c r="D62" s="1155" t="s">
        <v>1673</v>
      </c>
      <c r="E62" s="192">
        <v>0</v>
      </c>
      <c r="F62" s="185">
        <v>0</v>
      </c>
      <c r="G62" s="196">
        <v>0</v>
      </c>
      <c r="H62" s="187">
        <v>0</v>
      </c>
    </row>
    <row r="63" spans="1:11" ht="12.75" customHeight="1" x14ac:dyDescent="0.2">
      <c r="A63" s="198">
        <v>46</v>
      </c>
      <c r="B63" s="181" t="s">
        <v>506</v>
      </c>
      <c r="C63" s="182">
        <v>44657</v>
      </c>
      <c r="D63" s="1155" t="s">
        <v>1673</v>
      </c>
      <c r="E63" s="192">
        <v>29985.63</v>
      </c>
      <c r="F63" s="185">
        <v>29985.63</v>
      </c>
      <c r="G63" s="196">
        <v>0</v>
      </c>
      <c r="H63" s="187">
        <v>0</v>
      </c>
    </row>
    <row r="64" spans="1:11" ht="12.75" customHeight="1" x14ac:dyDescent="0.2">
      <c r="A64" s="200">
        <v>47</v>
      </c>
      <c r="B64" s="181" t="s">
        <v>507</v>
      </c>
      <c r="C64" s="182">
        <v>44657</v>
      </c>
      <c r="D64" s="1155" t="s">
        <v>1673</v>
      </c>
      <c r="E64" s="192">
        <v>35324.78</v>
      </c>
      <c r="F64" s="185">
        <v>29664.78</v>
      </c>
      <c r="G64" s="196">
        <v>5660</v>
      </c>
      <c r="H64" s="187">
        <v>0</v>
      </c>
    </row>
    <row r="65" spans="1:13" x14ac:dyDescent="0.2">
      <c r="A65" s="198">
        <v>48</v>
      </c>
      <c r="B65" s="181" t="s">
        <v>508</v>
      </c>
      <c r="C65" s="182">
        <v>44657</v>
      </c>
      <c r="D65" s="1155" t="s">
        <v>1673</v>
      </c>
      <c r="E65" s="192">
        <v>554.53</v>
      </c>
      <c r="F65" s="185">
        <v>554.53</v>
      </c>
      <c r="G65" s="196">
        <v>0</v>
      </c>
      <c r="H65" s="187">
        <v>0</v>
      </c>
    </row>
    <row r="66" spans="1:13" s="8" customFormat="1" x14ac:dyDescent="0.2">
      <c r="A66" s="198">
        <v>49</v>
      </c>
      <c r="B66" s="181" t="s">
        <v>509</v>
      </c>
      <c r="C66" s="182">
        <v>44657</v>
      </c>
      <c r="D66" s="1155" t="s">
        <v>1673</v>
      </c>
      <c r="E66" s="192">
        <v>29428.84</v>
      </c>
      <c r="F66" s="185">
        <v>29428.84</v>
      </c>
      <c r="G66" s="196">
        <v>0</v>
      </c>
      <c r="H66" s="187">
        <v>0</v>
      </c>
      <c r="J66" s="1199"/>
    </row>
    <row r="67" spans="1:13" x14ac:dyDescent="0.2">
      <c r="A67" s="200">
        <v>50</v>
      </c>
      <c r="B67" s="181" t="s">
        <v>510</v>
      </c>
      <c r="C67" s="182">
        <v>44657</v>
      </c>
      <c r="D67" s="1155" t="s">
        <v>1673</v>
      </c>
      <c r="E67" s="192">
        <v>231794.05</v>
      </c>
      <c r="F67" s="185">
        <v>231794.05</v>
      </c>
      <c r="G67" s="196">
        <v>0</v>
      </c>
      <c r="H67" s="187">
        <v>0</v>
      </c>
    </row>
    <row r="68" spans="1:13" x14ac:dyDescent="0.2">
      <c r="A68" s="198">
        <v>51</v>
      </c>
      <c r="B68" s="181" t="s">
        <v>511</v>
      </c>
      <c r="C68" s="182">
        <v>44657</v>
      </c>
      <c r="D68" s="1155" t="s">
        <v>1673</v>
      </c>
      <c r="E68" s="192">
        <v>195062.21</v>
      </c>
      <c r="F68" s="185">
        <v>195062.21</v>
      </c>
      <c r="G68" s="196">
        <v>0</v>
      </c>
      <c r="H68" s="187">
        <v>0</v>
      </c>
    </row>
    <row r="69" spans="1:13" x14ac:dyDescent="0.2">
      <c r="A69" s="198">
        <v>52</v>
      </c>
      <c r="B69" s="181" t="s">
        <v>512</v>
      </c>
      <c r="C69" s="182">
        <v>44657</v>
      </c>
      <c r="D69" s="1155" t="s">
        <v>1673</v>
      </c>
      <c r="E69" s="192">
        <v>430.27</v>
      </c>
      <c r="F69" s="185">
        <v>430.27</v>
      </c>
      <c r="G69" s="196">
        <v>0</v>
      </c>
      <c r="H69" s="187">
        <v>0</v>
      </c>
    </row>
    <row r="70" spans="1:13" x14ac:dyDescent="0.2">
      <c r="A70" s="200">
        <v>53</v>
      </c>
      <c r="B70" s="181" t="s">
        <v>1678</v>
      </c>
      <c r="C70" s="182">
        <v>44657</v>
      </c>
      <c r="D70" s="1155" t="s">
        <v>1673</v>
      </c>
      <c r="E70" s="192">
        <v>492.33</v>
      </c>
      <c r="F70" s="185">
        <v>492.33</v>
      </c>
      <c r="G70" s="196">
        <v>0</v>
      </c>
      <c r="H70" s="187">
        <v>0</v>
      </c>
    </row>
    <row r="71" spans="1:13" ht="13.5" customHeight="1" x14ac:dyDescent="0.2">
      <c r="A71" s="198">
        <v>54</v>
      </c>
      <c r="B71" s="181" t="s">
        <v>513</v>
      </c>
      <c r="C71" s="182">
        <v>44657</v>
      </c>
      <c r="D71" s="1155" t="s">
        <v>1673</v>
      </c>
      <c r="E71" s="192">
        <v>4397.47</v>
      </c>
      <c r="F71" s="185">
        <v>4397.47</v>
      </c>
      <c r="G71" s="186">
        <v>0</v>
      </c>
      <c r="H71" s="187">
        <v>0</v>
      </c>
    </row>
    <row r="72" spans="1:13" ht="12.75" customHeight="1" x14ac:dyDescent="0.2">
      <c r="A72" s="198">
        <v>55</v>
      </c>
      <c r="B72" s="181" t="s">
        <v>514</v>
      </c>
      <c r="C72" s="182">
        <v>44657</v>
      </c>
      <c r="D72" s="1155" t="s">
        <v>1673</v>
      </c>
      <c r="E72" s="192">
        <v>937.6</v>
      </c>
      <c r="F72" s="185">
        <v>937.6</v>
      </c>
      <c r="G72" s="186">
        <v>0</v>
      </c>
      <c r="H72" s="187">
        <v>0</v>
      </c>
    </row>
    <row r="73" spans="1:13" ht="13.5" customHeight="1" x14ac:dyDescent="0.2">
      <c r="A73" s="200">
        <v>56</v>
      </c>
      <c r="B73" s="201" t="s">
        <v>661</v>
      </c>
      <c r="C73" s="182">
        <v>44657</v>
      </c>
      <c r="D73" s="1155" t="s">
        <v>1673</v>
      </c>
      <c r="E73" s="192">
        <v>271.2</v>
      </c>
      <c r="F73" s="185">
        <v>271.2</v>
      </c>
      <c r="G73" s="186">
        <v>0</v>
      </c>
      <c r="H73" s="187">
        <v>0</v>
      </c>
    </row>
    <row r="74" spans="1:13" ht="12.75" customHeight="1" x14ac:dyDescent="0.2">
      <c r="A74" s="200">
        <v>57</v>
      </c>
      <c r="B74" s="201" t="s">
        <v>1679</v>
      </c>
      <c r="C74" s="698">
        <v>44657</v>
      </c>
      <c r="D74" s="1156" t="s">
        <v>1673</v>
      </c>
      <c r="E74" s="192">
        <v>3199229.5</v>
      </c>
      <c r="F74" s="195">
        <v>3199229.5</v>
      </c>
      <c r="G74" s="186">
        <v>0</v>
      </c>
      <c r="H74" s="187">
        <v>0</v>
      </c>
      <c r="I74" s="637"/>
    </row>
    <row r="75" spans="1:13" ht="12.75" customHeight="1" thickBot="1" x14ac:dyDescent="0.25">
      <c r="A75" s="198">
        <v>58</v>
      </c>
      <c r="B75" s="1123" t="s">
        <v>1684</v>
      </c>
      <c r="C75" s="182">
        <v>44657</v>
      </c>
      <c r="D75" s="1155" t="s">
        <v>1673</v>
      </c>
      <c r="E75" s="206">
        <v>0</v>
      </c>
      <c r="F75" s="1126">
        <v>0</v>
      </c>
      <c r="G75" s="207">
        <v>0</v>
      </c>
      <c r="H75" s="208">
        <v>0</v>
      </c>
      <c r="I75" s="637"/>
    </row>
    <row r="76" spans="1:13" ht="12.75" customHeight="1" thickBot="1" x14ac:dyDescent="0.25">
      <c r="A76" s="1971" t="s">
        <v>515</v>
      </c>
      <c r="B76" s="1972"/>
      <c r="C76" s="1738"/>
      <c r="D76" s="1157"/>
      <c r="E76" s="230">
        <f>SUM(E53:E75)</f>
        <v>19793608.890000001</v>
      </c>
      <c r="F76" s="1122">
        <f>SUM(F53:F75)</f>
        <v>18463357.105999999</v>
      </c>
      <c r="G76" s="574">
        <f>SUM(G53:G75)</f>
        <v>1202875.6940000001</v>
      </c>
      <c r="H76" s="233">
        <f>SUM(H53:H75)</f>
        <v>127376.09</v>
      </c>
    </row>
    <row r="77" spans="1:13" ht="13.5" thickBot="1" x14ac:dyDescent="0.25">
      <c r="A77" s="1994" t="s">
        <v>516</v>
      </c>
      <c r="B77" s="1995"/>
      <c r="C77" s="1995"/>
      <c r="D77" s="1996"/>
      <c r="E77" s="1106">
        <v>100</v>
      </c>
      <c r="F77" s="1173">
        <f>F76/(E76)*100</f>
        <v>93.279387344709718</v>
      </c>
      <c r="G77" s="1171">
        <f>G76/(E76)*100</f>
        <v>6.0770913514801705</v>
      </c>
      <c r="H77" s="1172">
        <f>H76/E76*100</f>
        <v>0.64352130381010064</v>
      </c>
    </row>
    <row r="78" spans="1:13" x14ac:dyDescent="0.2">
      <c r="A78" s="210">
        <v>59</v>
      </c>
      <c r="B78" s="211" t="s">
        <v>1693</v>
      </c>
      <c r="C78" s="698">
        <v>44698</v>
      </c>
      <c r="D78" s="1158" t="s">
        <v>1701</v>
      </c>
      <c r="E78" s="1185">
        <v>316089.67</v>
      </c>
      <c r="F78" s="1186">
        <v>316089.67</v>
      </c>
      <c r="G78" s="1141">
        <v>0</v>
      </c>
      <c r="H78" s="1142">
        <v>0</v>
      </c>
      <c r="J78" s="1199"/>
      <c r="K78" s="8"/>
      <c r="L78" s="8"/>
      <c r="M78" s="8"/>
    </row>
    <row r="79" spans="1:13" x14ac:dyDescent="0.2">
      <c r="A79" s="210">
        <v>60</v>
      </c>
      <c r="B79" s="211" t="s">
        <v>517</v>
      </c>
      <c r="C79" s="698">
        <v>44698</v>
      </c>
      <c r="D79" s="1158" t="s">
        <v>1701</v>
      </c>
      <c r="E79" s="184">
        <v>158691.29</v>
      </c>
      <c r="F79" s="1187">
        <v>78691.290000000008</v>
      </c>
      <c r="G79" s="212">
        <v>80000</v>
      </c>
      <c r="H79" s="213">
        <v>0</v>
      </c>
      <c r="J79" s="1199"/>
      <c r="K79" s="8"/>
      <c r="L79" s="8"/>
      <c r="M79" s="8"/>
    </row>
    <row r="80" spans="1:13" ht="12.75" customHeight="1" x14ac:dyDescent="0.2">
      <c r="A80" s="210">
        <v>61</v>
      </c>
      <c r="B80" s="211" t="s">
        <v>662</v>
      </c>
      <c r="C80" s="698">
        <v>44698</v>
      </c>
      <c r="D80" s="1158" t="s">
        <v>1701</v>
      </c>
      <c r="E80" s="214">
        <v>0</v>
      </c>
      <c r="F80" s="1188">
        <v>0</v>
      </c>
      <c r="G80" s="215">
        <v>0</v>
      </c>
      <c r="H80" s="216">
        <v>0</v>
      </c>
      <c r="J80" s="1199"/>
      <c r="K80" s="8"/>
      <c r="L80" s="8"/>
      <c r="M80" s="8"/>
    </row>
    <row r="81" spans="1:13" ht="12.75" customHeight="1" x14ac:dyDescent="0.2">
      <c r="A81" s="210">
        <v>62</v>
      </c>
      <c r="B81" s="211" t="s">
        <v>518</v>
      </c>
      <c r="C81" s="698">
        <v>44698</v>
      </c>
      <c r="D81" s="1158" t="s">
        <v>1701</v>
      </c>
      <c r="E81" s="214">
        <v>25072.34</v>
      </c>
      <c r="F81" s="1188">
        <v>25072.34</v>
      </c>
      <c r="G81" s="215">
        <v>0</v>
      </c>
      <c r="H81" s="216">
        <v>0</v>
      </c>
      <c r="J81" s="1199"/>
      <c r="K81" s="8"/>
      <c r="L81" s="8"/>
      <c r="M81" s="8"/>
    </row>
    <row r="82" spans="1:13" ht="12.75" customHeight="1" x14ac:dyDescent="0.2">
      <c r="A82" s="210">
        <v>63</v>
      </c>
      <c r="B82" s="211" t="s">
        <v>1694</v>
      </c>
      <c r="C82" s="698">
        <v>44698</v>
      </c>
      <c r="D82" s="1158" t="s">
        <v>1701</v>
      </c>
      <c r="E82" s="214">
        <v>0</v>
      </c>
      <c r="F82" s="1188">
        <v>0</v>
      </c>
      <c r="G82" s="215">
        <v>0</v>
      </c>
      <c r="H82" s="216">
        <v>0</v>
      </c>
      <c r="J82" s="1199"/>
      <c r="K82" s="8"/>
      <c r="L82" s="8"/>
      <c r="M82" s="8"/>
    </row>
    <row r="83" spans="1:13" ht="12.75" customHeight="1" x14ac:dyDescent="0.2">
      <c r="A83" s="210">
        <v>64</v>
      </c>
      <c r="B83" s="217" t="s">
        <v>519</v>
      </c>
      <c r="C83" s="698">
        <v>44698</v>
      </c>
      <c r="D83" s="1158" t="s">
        <v>1701</v>
      </c>
      <c r="E83" s="214">
        <v>2412</v>
      </c>
      <c r="F83" s="1188">
        <v>483</v>
      </c>
      <c r="G83" s="215">
        <f>E83-F83</f>
        <v>1929</v>
      </c>
      <c r="H83" s="216">
        <v>0</v>
      </c>
      <c r="J83" s="1199"/>
      <c r="K83" s="8"/>
      <c r="L83" s="8"/>
      <c r="M83" s="8"/>
    </row>
    <row r="84" spans="1:13" ht="12.75" customHeight="1" x14ac:dyDescent="0.2">
      <c r="A84" s="210">
        <v>65</v>
      </c>
      <c r="B84" s="217" t="s">
        <v>520</v>
      </c>
      <c r="C84" s="698">
        <v>44698</v>
      </c>
      <c r="D84" s="1158" t="s">
        <v>1701</v>
      </c>
      <c r="E84" s="214">
        <v>103808.97</v>
      </c>
      <c r="F84" s="1188">
        <v>103808.97</v>
      </c>
      <c r="G84" s="215">
        <v>0</v>
      </c>
      <c r="H84" s="216">
        <v>0</v>
      </c>
      <c r="J84" s="1199"/>
      <c r="K84" s="8"/>
      <c r="L84" s="8"/>
      <c r="M84" s="8"/>
    </row>
    <row r="85" spans="1:13" ht="12.75" customHeight="1" x14ac:dyDescent="0.2">
      <c r="A85" s="210">
        <v>66</v>
      </c>
      <c r="B85" s="211" t="s">
        <v>521</v>
      </c>
      <c r="C85" s="698">
        <v>44698</v>
      </c>
      <c r="D85" s="1158" t="s">
        <v>1701</v>
      </c>
      <c r="E85" s="214">
        <v>38073.089999999997</v>
      </c>
      <c r="F85" s="1188">
        <v>7615.09</v>
      </c>
      <c r="G85" s="215">
        <v>30458</v>
      </c>
      <c r="H85" s="216">
        <v>0</v>
      </c>
      <c r="J85" s="1199"/>
      <c r="K85" s="8"/>
      <c r="L85" s="8"/>
      <c r="M85" s="8"/>
    </row>
    <row r="86" spans="1:13" ht="12.75" customHeight="1" x14ac:dyDescent="0.2">
      <c r="A86" s="210">
        <v>67</v>
      </c>
      <c r="B86" s="211" t="s">
        <v>522</v>
      </c>
      <c r="C86" s="698">
        <v>44698</v>
      </c>
      <c r="D86" s="1158" t="s">
        <v>1701</v>
      </c>
      <c r="E86" s="214">
        <v>11812</v>
      </c>
      <c r="F86" s="1188">
        <v>11812</v>
      </c>
      <c r="G86" s="215">
        <v>0</v>
      </c>
      <c r="H86" s="216">
        <v>0</v>
      </c>
      <c r="J86" s="1199"/>
      <c r="K86" s="8"/>
      <c r="L86" s="8"/>
      <c r="M86" s="8"/>
    </row>
    <row r="87" spans="1:13" ht="12.75" customHeight="1" x14ac:dyDescent="0.2">
      <c r="A87" s="210">
        <v>68</v>
      </c>
      <c r="B87" s="218" t="s">
        <v>523</v>
      </c>
      <c r="C87" s="698">
        <v>44698</v>
      </c>
      <c r="D87" s="1158" t="s">
        <v>1701</v>
      </c>
      <c r="E87" s="214">
        <v>32172.38</v>
      </c>
      <c r="F87" s="1188">
        <v>32172.38</v>
      </c>
      <c r="G87" s="215">
        <v>0</v>
      </c>
      <c r="H87" s="216">
        <v>0</v>
      </c>
      <c r="J87" s="1199"/>
      <c r="K87" s="8"/>
      <c r="L87" s="8"/>
      <c r="M87" s="8"/>
    </row>
    <row r="88" spans="1:13" ht="12.75" customHeight="1" thickBot="1" x14ac:dyDescent="0.25">
      <c r="A88" s="1184">
        <v>69</v>
      </c>
      <c r="B88" s="219" t="s">
        <v>524</v>
      </c>
      <c r="C88" s="1272">
        <v>44635</v>
      </c>
      <c r="D88" s="1162" t="s">
        <v>1671</v>
      </c>
      <c r="E88" s="1189">
        <v>131193.41</v>
      </c>
      <c r="F88" s="1190">
        <v>131193.41</v>
      </c>
      <c r="G88" s="1191">
        <v>0</v>
      </c>
      <c r="H88" s="1144">
        <v>0</v>
      </c>
      <c r="J88" s="1199"/>
      <c r="K88" s="8"/>
      <c r="L88" s="8"/>
      <c r="M88" s="8"/>
    </row>
    <row r="89" spans="1:13" ht="12.75" customHeight="1" thickBot="1" x14ac:dyDescent="0.25">
      <c r="A89" s="1955" t="s">
        <v>1696</v>
      </c>
      <c r="B89" s="1956"/>
      <c r="C89" s="1956"/>
      <c r="D89" s="1957"/>
      <c r="E89" s="203">
        <f>SUM(E78:E88)</f>
        <v>819325.15</v>
      </c>
      <c r="F89" s="1149">
        <f t="shared" ref="F89:H89" si="1">SUM(F78:F88)</f>
        <v>706938.15</v>
      </c>
      <c r="G89" s="1149">
        <f t="shared" si="1"/>
        <v>112387</v>
      </c>
      <c r="H89" s="1180">
        <f t="shared" si="1"/>
        <v>0</v>
      </c>
      <c r="J89" s="1199"/>
      <c r="K89" s="699"/>
    </row>
    <row r="90" spans="1:13" ht="17.25" customHeight="1" x14ac:dyDescent="0.2">
      <c r="H90" s="322" t="s">
        <v>805</v>
      </c>
      <c r="J90" s="1199"/>
      <c r="K90" s="699"/>
      <c r="L90" s="8"/>
      <c r="M90" s="8"/>
    </row>
    <row r="91" spans="1:13" ht="12.75" customHeight="1" x14ac:dyDescent="0.2">
      <c r="H91" s="10"/>
    </row>
    <row r="92" spans="1:13" ht="18" x14ac:dyDescent="0.25">
      <c r="A92" s="1963" t="s">
        <v>1674</v>
      </c>
      <c r="B92" s="1963"/>
      <c r="C92" s="1963"/>
      <c r="D92" s="1963"/>
      <c r="E92" s="1963"/>
      <c r="F92" s="1963"/>
      <c r="G92" s="1963"/>
    </row>
    <row r="93" spans="1:13" ht="12.75" customHeight="1" thickBot="1" x14ac:dyDescent="0.25">
      <c r="A93" s="177"/>
      <c r="B93" s="177"/>
      <c r="C93" s="177"/>
      <c r="D93" s="1151"/>
      <c r="E93" s="177"/>
      <c r="F93" s="177"/>
      <c r="G93" s="177"/>
    </row>
    <row r="94" spans="1:13" ht="12.75" customHeight="1" thickBot="1" x14ac:dyDescent="0.25">
      <c r="A94" s="1973" t="s">
        <v>462</v>
      </c>
      <c r="B94" s="1987" t="s">
        <v>86</v>
      </c>
      <c r="C94" s="178" t="s">
        <v>463</v>
      </c>
      <c r="D94" s="1976" t="s">
        <v>464</v>
      </c>
      <c r="E94" s="1979" t="s">
        <v>1676</v>
      </c>
      <c r="F94" s="1982" t="s">
        <v>1686</v>
      </c>
      <c r="G94" s="1983"/>
      <c r="H94" s="1984"/>
    </row>
    <row r="95" spans="1:13" ht="12.75" customHeight="1" x14ac:dyDescent="0.2">
      <c r="A95" s="1974"/>
      <c r="B95" s="1988"/>
      <c r="C95" s="179" t="s">
        <v>1675</v>
      </c>
      <c r="D95" s="1977"/>
      <c r="E95" s="1980"/>
      <c r="F95" s="1985" t="s">
        <v>465</v>
      </c>
      <c r="G95" s="1976" t="s">
        <v>466</v>
      </c>
      <c r="H95" s="1969" t="s">
        <v>467</v>
      </c>
    </row>
    <row r="96" spans="1:13" ht="12.75" customHeight="1" thickBot="1" x14ac:dyDescent="0.25">
      <c r="A96" s="1975"/>
      <c r="B96" s="1989"/>
      <c r="C96" s="180" t="s">
        <v>468</v>
      </c>
      <c r="D96" s="1978"/>
      <c r="E96" s="1981"/>
      <c r="F96" s="1986"/>
      <c r="G96" s="1978"/>
      <c r="H96" s="1970"/>
    </row>
    <row r="97" spans="1:13" ht="12.75" customHeight="1" x14ac:dyDescent="0.2">
      <c r="A97" s="1958" t="s">
        <v>1697</v>
      </c>
      <c r="B97" s="1959"/>
      <c r="C97" s="1959"/>
      <c r="D97" s="1959"/>
      <c r="E97" s="1179">
        <f>E89</f>
        <v>819325.15</v>
      </c>
      <c r="F97" s="1196">
        <f>F89</f>
        <v>706938.15</v>
      </c>
      <c r="G97" s="1197">
        <f>G89</f>
        <v>112387</v>
      </c>
      <c r="H97" s="1742">
        <f>H89</f>
        <v>0</v>
      </c>
    </row>
    <row r="98" spans="1:13" ht="12.75" customHeight="1" x14ac:dyDescent="0.2">
      <c r="A98" s="210">
        <v>70</v>
      </c>
      <c r="B98" s="211" t="s">
        <v>525</v>
      </c>
      <c r="C98" s="698">
        <v>44698</v>
      </c>
      <c r="D98" s="1158" t="s">
        <v>1701</v>
      </c>
      <c r="E98" s="184">
        <v>0</v>
      </c>
      <c r="F98" s="220">
        <v>0</v>
      </c>
      <c r="G98" s="212">
        <v>0</v>
      </c>
      <c r="H98" s="213">
        <v>0</v>
      </c>
      <c r="J98" s="1199"/>
      <c r="K98" s="8"/>
      <c r="L98" s="8"/>
      <c r="M98" s="8"/>
    </row>
    <row r="99" spans="1:13" ht="12.75" customHeight="1" x14ac:dyDescent="0.2">
      <c r="A99" s="210">
        <v>71</v>
      </c>
      <c r="B99" s="218" t="s">
        <v>526</v>
      </c>
      <c r="C99" s="698">
        <v>44698</v>
      </c>
      <c r="D99" s="1158" t="s">
        <v>1701</v>
      </c>
      <c r="E99" s="723">
        <v>13836.3</v>
      </c>
      <c r="F99" s="724">
        <v>3836.2999999999993</v>
      </c>
      <c r="G99" s="725">
        <v>10000</v>
      </c>
      <c r="H99" s="726">
        <v>0</v>
      </c>
      <c r="J99" s="1199"/>
      <c r="K99" s="8"/>
      <c r="L99" s="8"/>
      <c r="M99" s="8"/>
    </row>
    <row r="100" spans="1:13" ht="12.75" customHeight="1" x14ac:dyDescent="0.2">
      <c r="A100" s="210">
        <v>72</v>
      </c>
      <c r="B100" s="217" t="s">
        <v>527</v>
      </c>
      <c r="C100" s="698">
        <v>44635</v>
      </c>
      <c r="D100" s="1158" t="s">
        <v>1671</v>
      </c>
      <c r="E100" s="184">
        <v>5961.33</v>
      </c>
      <c r="F100" s="220">
        <v>1192.33</v>
      </c>
      <c r="G100" s="212">
        <v>4769</v>
      </c>
      <c r="H100" s="213">
        <v>0</v>
      </c>
      <c r="J100" s="1199"/>
      <c r="K100" s="8"/>
      <c r="L100" s="8"/>
      <c r="M100" s="8"/>
    </row>
    <row r="101" spans="1:13" s="8" customFormat="1" ht="12.75" customHeight="1" x14ac:dyDescent="0.2">
      <c r="A101" s="210">
        <v>73</v>
      </c>
      <c r="B101" s="211" t="s">
        <v>555</v>
      </c>
      <c r="C101" s="698">
        <v>44698</v>
      </c>
      <c r="D101" s="1158" t="s">
        <v>1701</v>
      </c>
      <c r="E101" s="223">
        <v>0</v>
      </c>
      <c r="F101" s="224">
        <v>0</v>
      </c>
      <c r="G101" s="225">
        <v>0</v>
      </c>
      <c r="H101" s="226">
        <v>0</v>
      </c>
      <c r="J101" s="1199"/>
    </row>
    <row r="102" spans="1:13" x14ac:dyDescent="0.2">
      <c r="A102" s="210">
        <v>74</v>
      </c>
      <c r="B102" s="221" t="s">
        <v>556</v>
      </c>
      <c r="C102" s="698">
        <v>44698</v>
      </c>
      <c r="D102" s="1158" t="s">
        <v>1701</v>
      </c>
      <c r="E102" s="223">
        <v>0</v>
      </c>
      <c r="F102" s="224">
        <v>0</v>
      </c>
      <c r="G102" s="225">
        <v>0</v>
      </c>
      <c r="H102" s="226">
        <v>0</v>
      </c>
      <c r="J102" s="1199"/>
      <c r="K102" s="8"/>
      <c r="L102" s="8"/>
      <c r="M102" s="8"/>
    </row>
    <row r="103" spans="1:13" x14ac:dyDescent="0.2">
      <c r="A103" s="210">
        <v>75</v>
      </c>
      <c r="B103" s="247" t="s">
        <v>528</v>
      </c>
      <c r="C103" s="698">
        <v>44698</v>
      </c>
      <c r="D103" s="1158" t="s">
        <v>1701</v>
      </c>
      <c r="E103" s="223">
        <v>0</v>
      </c>
      <c r="F103" s="224">
        <v>0</v>
      </c>
      <c r="G103" s="225">
        <v>0</v>
      </c>
      <c r="H103" s="226">
        <v>0</v>
      </c>
      <c r="J103" s="1199"/>
      <c r="K103" s="8"/>
      <c r="L103" s="8"/>
      <c r="M103" s="8"/>
    </row>
    <row r="104" spans="1:13" x14ac:dyDescent="0.2">
      <c r="A104" s="210">
        <v>76</v>
      </c>
      <c r="B104" s="221" t="s">
        <v>529</v>
      </c>
      <c r="C104" s="698">
        <v>44698</v>
      </c>
      <c r="D104" s="1158" t="s">
        <v>1701</v>
      </c>
      <c r="E104" s="223">
        <v>70962.78</v>
      </c>
      <c r="F104" s="224">
        <v>70962.78</v>
      </c>
      <c r="G104" s="225">
        <v>0</v>
      </c>
      <c r="H104" s="226">
        <v>0</v>
      </c>
      <c r="J104" s="1199"/>
      <c r="K104" s="8"/>
      <c r="L104" s="8"/>
      <c r="M104" s="8"/>
    </row>
    <row r="105" spans="1:13" ht="13.5" customHeight="1" thickBot="1" x14ac:dyDescent="0.25">
      <c r="A105" s="210">
        <v>77</v>
      </c>
      <c r="B105" s="227" t="s">
        <v>530</v>
      </c>
      <c r="C105" s="698">
        <v>44698</v>
      </c>
      <c r="D105" s="1158" t="s">
        <v>1701</v>
      </c>
      <c r="E105" s="228">
        <v>1746.7</v>
      </c>
      <c r="F105" s="724">
        <v>1746.7</v>
      </c>
      <c r="G105" s="725">
        <v>0</v>
      </c>
      <c r="H105" s="726">
        <v>0</v>
      </c>
      <c r="J105" s="1199"/>
      <c r="K105" s="699"/>
      <c r="L105" s="8"/>
      <c r="M105" s="8"/>
    </row>
    <row r="106" spans="1:13" ht="13.5" customHeight="1" thickBot="1" x14ac:dyDescent="0.25">
      <c r="A106" s="1971" t="s">
        <v>531</v>
      </c>
      <c r="B106" s="1972"/>
      <c r="C106" s="229"/>
      <c r="D106" s="1159"/>
      <c r="E106" s="231">
        <f>SUM(E97:E105)</f>
        <v>911832.26</v>
      </c>
      <c r="F106" s="240">
        <f t="shared" ref="F106:H106" si="2">SUM(F97:F105)</f>
        <v>784676.26</v>
      </c>
      <c r="G106" s="574">
        <f t="shared" si="2"/>
        <v>127156</v>
      </c>
      <c r="H106" s="233">
        <f t="shared" si="2"/>
        <v>0</v>
      </c>
      <c r="J106" s="1199"/>
      <c r="K106" s="699"/>
      <c r="L106" s="8"/>
      <c r="M106" s="8"/>
    </row>
    <row r="107" spans="1:13" ht="13.5" thickBot="1" x14ac:dyDescent="0.25">
      <c r="A107" s="1960" t="s">
        <v>532</v>
      </c>
      <c r="B107" s="1961"/>
      <c r="C107" s="1961"/>
      <c r="D107" s="1962"/>
      <c r="E107" s="202">
        <v>100</v>
      </c>
      <c r="F107" s="1107">
        <f>F106/(E106)*100</f>
        <v>86.054891280113296</v>
      </c>
      <c r="G107" s="1108">
        <f>G106/(E106)*100</f>
        <v>13.945108719886704</v>
      </c>
      <c r="H107" s="1121">
        <f>H106/E106*100</f>
        <v>0</v>
      </c>
      <c r="J107" s="1199"/>
      <c r="K107" s="699"/>
      <c r="L107" s="8"/>
      <c r="M107" s="8"/>
    </row>
    <row r="108" spans="1:13" ht="12.75" customHeight="1" thickBot="1" x14ac:dyDescent="0.25">
      <c r="A108" s="234">
        <v>78</v>
      </c>
      <c r="B108" s="219" t="s">
        <v>533</v>
      </c>
      <c r="C108" s="235">
        <v>44635</v>
      </c>
      <c r="D108" s="1160" t="s">
        <v>1692</v>
      </c>
      <c r="E108" s="206">
        <v>0</v>
      </c>
      <c r="F108" s="236">
        <v>0</v>
      </c>
      <c r="G108" s="207">
        <v>0</v>
      </c>
      <c r="H108" s="208">
        <v>0</v>
      </c>
      <c r="L108" s="4"/>
    </row>
    <row r="109" spans="1:13" ht="13.5" customHeight="1" thickBot="1" x14ac:dyDescent="0.25">
      <c r="A109" s="1971" t="s">
        <v>534</v>
      </c>
      <c r="B109" s="1972"/>
      <c r="C109" s="229"/>
      <c r="D109" s="1159"/>
      <c r="E109" s="230">
        <f>E108</f>
        <v>0</v>
      </c>
      <c r="F109" s="231">
        <f>F108</f>
        <v>0</v>
      </c>
      <c r="G109" s="232">
        <f>SUM(G108)</f>
        <v>0</v>
      </c>
      <c r="H109" s="233">
        <f>SUM(H108)</f>
        <v>0</v>
      </c>
    </row>
    <row r="110" spans="1:13" ht="13.5" customHeight="1" thickBot="1" x14ac:dyDescent="0.25">
      <c r="A110" s="1960" t="s">
        <v>535</v>
      </c>
      <c r="B110" s="1961"/>
      <c r="C110" s="1961"/>
      <c r="D110" s="1962"/>
      <c r="E110" s="1127">
        <v>100</v>
      </c>
      <c r="F110" s="203" t="s">
        <v>75</v>
      </c>
      <c r="G110" s="204" t="s">
        <v>75</v>
      </c>
      <c r="H110" s="205">
        <v>0</v>
      </c>
    </row>
    <row r="111" spans="1:13" ht="13.5" customHeight="1" x14ac:dyDescent="0.2">
      <c r="A111" s="1129">
        <v>79</v>
      </c>
      <c r="B111" s="1130" t="s">
        <v>536</v>
      </c>
      <c r="C111" s="1134">
        <v>44657</v>
      </c>
      <c r="D111" s="1161" t="s">
        <v>1687</v>
      </c>
      <c r="E111" s="1136">
        <v>0</v>
      </c>
      <c r="F111" s="1137">
        <v>0</v>
      </c>
      <c r="G111" s="1119">
        <v>0</v>
      </c>
      <c r="H111" s="1120">
        <v>0</v>
      </c>
    </row>
    <row r="112" spans="1:13" ht="13.5" customHeight="1" x14ac:dyDescent="0.2">
      <c r="A112" s="237">
        <v>80</v>
      </c>
      <c r="B112" s="221" t="s">
        <v>537</v>
      </c>
      <c r="C112" s="222">
        <v>44657</v>
      </c>
      <c r="D112" s="1152" t="s">
        <v>1687</v>
      </c>
      <c r="E112" s="192">
        <v>118356.07</v>
      </c>
      <c r="F112" s="185">
        <v>23671.22</v>
      </c>
      <c r="G112" s="196">
        <v>94684.85</v>
      </c>
      <c r="H112" s="191">
        <v>0</v>
      </c>
    </row>
    <row r="113" spans="1:8" ht="13.5" customHeight="1" x14ac:dyDescent="0.2">
      <c r="A113" s="210">
        <v>81</v>
      </c>
      <c r="B113" s="217" t="s">
        <v>538</v>
      </c>
      <c r="C113" s="222">
        <v>44657</v>
      </c>
      <c r="D113" s="1152" t="s">
        <v>1687</v>
      </c>
      <c r="E113" s="192">
        <v>41750.93</v>
      </c>
      <c r="F113" s="185">
        <v>8350.93</v>
      </c>
      <c r="G113" s="196">
        <v>33400</v>
      </c>
      <c r="H113" s="187">
        <v>0</v>
      </c>
    </row>
    <row r="114" spans="1:8" ht="13.5" customHeight="1" x14ac:dyDescent="0.2">
      <c r="A114" s="237">
        <v>82</v>
      </c>
      <c r="B114" s="221" t="s">
        <v>539</v>
      </c>
      <c r="C114" s="222">
        <v>44657</v>
      </c>
      <c r="D114" s="1152" t="s">
        <v>1687</v>
      </c>
      <c r="E114" s="192">
        <v>0</v>
      </c>
      <c r="F114" s="185">
        <v>0</v>
      </c>
      <c r="G114" s="196">
        <v>0</v>
      </c>
      <c r="H114" s="187">
        <v>0</v>
      </c>
    </row>
    <row r="115" spans="1:8" ht="13.5" customHeight="1" x14ac:dyDescent="0.2">
      <c r="A115" s="237">
        <v>83</v>
      </c>
      <c r="B115" s="1131" t="s">
        <v>540</v>
      </c>
      <c r="C115" s="222">
        <v>44657</v>
      </c>
      <c r="D115" s="1152" t="s">
        <v>1687</v>
      </c>
      <c r="E115" s="192">
        <v>114253.17</v>
      </c>
      <c r="F115" s="185">
        <v>114253.17</v>
      </c>
      <c r="G115" s="196">
        <v>0</v>
      </c>
      <c r="H115" s="187">
        <v>0</v>
      </c>
    </row>
    <row r="116" spans="1:8" ht="13.5" customHeight="1" x14ac:dyDescent="0.2">
      <c r="A116" s="237">
        <v>84</v>
      </c>
      <c r="B116" s="217" t="s">
        <v>1689</v>
      </c>
      <c r="C116" s="222">
        <v>44657</v>
      </c>
      <c r="D116" s="1152" t="s">
        <v>1687</v>
      </c>
      <c r="E116" s="192">
        <v>0</v>
      </c>
      <c r="F116" s="185">
        <v>0</v>
      </c>
      <c r="G116" s="196">
        <v>0</v>
      </c>
      <c r="H116" s="187">
        <v>0</v>
      </c>
    </row>
    <row r="117" spans="1:8" ht="13.5" customHeight="1" thickBot="1" x14ac:dyDescent="0.25">
      <c r="A117" s="1132">
        <v>85</v>
      </c>
      <c r="B117" s="1133" t="s">
        <v>1688</v>
      </c>
      <c r="C117" s="1135">
        <v>44657</v>
      </c>
      <c r="D117" s="1153" t="s">
        <v>1687</v>
      </c>
      <c r="E117" s="1110">
        <v>0</v>
      </c>
      <c r="F117" s="1114">
        <v>0</v>
      </c>
      <c r="G117" s="1138">
        <v>0</v>
      </c>
      <c r="H117" s="1115">
        <v>0</v>
      </c>
    </row>
    <row r="118" spans="1:8" ht="13.5" customHeight="1" thickBot="1" x14ac:dyDescent="0.25">
      <c r="A118" s="1971" t="s">
        <v>541</v>
      </c>
      <c r="B118" s="1972"/>
      <c r="C118" s="229"/>
      <c r="D118" s="1159"/>
      <c r="E118" s="230">
        <f>SUM(E111:E117)</f>
        <v>274360.17</v>
      </c>
      <c r="F118" s="231">
        <f>SUM(F111:F117)</f>
        <v>146275.32</v>
      </c>
      <c r="G118" s="574">
        <f t="shared" ref="G118:H118" si="3">SUM(G111:G117)</f>
        <v>128084.85</v>
      </c>
      <c r="H118" s="1105">
        <f t="shared" si="3"/>
        <v>0</v>
      </c>
    </row>
    <row r="119" spans="1:8" ht="13.5" thickBot="1" x14ac:dyDescent="0.25">
      <c r="A119" s="1960" t="s">
        <v>542</v>
      </c>
      <c r="B119" s="1961"/>
      <c r="C119" s="1961"/>
      <c r="D119" s="1962"/>
      <c r="E119" s="202">
        <v>100</v>
      </c>
      <c r="F119" s="203">
        <f>F118/(E118)*100</f>
        <v>53.315071207311185</v>
      </c>
      <c r="G119" s="204">
        <f>G118/(E118)*100</f>
        <v>46.684928792688829</v>
      </c>
      <c r="H119" s="205">
        <v>0</v>
      </c>
    </row>
    <row r="120" spans="1:8" ht="13.5" thickBot="1" x14ac:dyDescent="0.25">
      <c r="A120" s="234">
        <v>86</v>
      </c>
      <c r="B120" s="239" t="s">
        <v>543</v>
      </c>
      <c r="C120" s="238">
        <v>44670</v>
      </c>
      <c r="D120" s="1162" t="s">
        <v>1690</v>
      </c>
      <c r="E120" s="206">
        <v>203533.86</v>
      </c>
      <c r="F120" s="236">
        <v>163533.85999999999</v>
      </c>
      <c r="G120" s="207">
        <v>40000</v>
      </c>
      <c r="H120" s="208">
        <v>0</v>
      </c>
    </row>
    <row r="121" spans="1:8" ht="13.5" thickBot="1" x14ac:dyDescent="0.25">
      <c r="A121" s="1971" t="s">
        <v>544</v>
      </c>
      <c r="B121" s="1972"/>
      <c r="C121" s="229"/>
      <c r="D121" s="1159"/>
      <c r="E121" s="230">
        <f>E120</f>
        <v>203533.86</v>
      </c>
      <c r="F121" s="240">
        <f>F120</f>
        <v>163533.85999999999</v>
      </c>
      <c r="G121" s="232">
        <f>G120</f>
        <v>40000</v>
      </c>
      <c r="H121" s="233">
        <f>H120</f>
        <v>0</v>
      </c>
    </row>
    <row r="122" spans="1:8" ht="13.5" thickBot="1" x14ac:dyDescent="0.25">
      <c r="A122" s="1960" t="s">
        <v>545</v>
      </c>
      <c r="B122" s="1961"/>
      <c r="C122" s="1961"/>
      <c r="D122" s="1962"/>
      <c r="E122" s="1127">
        <v>100</v>
      </c>
      <c r="F122" s="1139">
        <f>F121/(E121)*100</f>
        <v>80.347250329748576</v>
      </c>
      <c r="G122" s="1140">
        <f>G121/(E121)*100</f>
        <v>19.652749670251428</v>
      </c>
      <c r="H122" s="1118">
        <v>0</v>
      </c>
    </row>
    <row r="123" spans="1:8" x14ac:dyDescent="0.2">
      <c r="A123" s="210">
        <v>87</v>
      </c>
      <c r="B123" s="211" t="s">
        <v>546</v>
      </c>
      <c r="C123" s="182">
        <v>44635</v>
      </c>
      <c r="D123" s="1158" t="s">
        <v>1670</v>
      </c>
      <c r="E123" s="1194">
        <v>22729102.390000001</v>
      </c>
      <c r="F123" s="1192">
        <v>22729102.390000001</v>
      </c>
      <c r="G123" s="1141">
        <v>0</v>
      </c>
      <c r="H123" s="1142">
        <v>0</v>
      </c>
    </row>
    <row r="124" spans="1:8" ht="13.5" thickBot="1" x14ac:dyDescent="0.25">
      <c r="A124" s="210">
        <v>88</v>
      </c>
      <c r="B124" s="211" t="s">
        <v>547</v>
      </c>
      <c r="C124" s="182">
        <v>44635</v>
      </c>
      <c r="D124" s="1158" t="s">
        <v>1669</v>
      </c>
      <c r="E124" s="1195">
        <v>447672.9</v>
      </c>
      <c r="F124" s="1193">
        <v>447672.9</v>
      </c>
      <c r="G124" s="1143">
        <v>0</v>
      </c>
      <c r="H124" s="1144">
        <v>0</v>
      </c>
    </row>
    <row r="125" spans="1:8" ht="13.5" thickBot="1" x14ac:dyDescent="0.25">
      <c r="A125" s="1971" t="s">
        <v>548</v>
      </c>
      <c r="B125" s="1972"/>
      <c r="C125" s="1100"/>
      <c r="D125" s="1163"/>
      <c r="E125" s="1128">
        <f>SUM(E123:E124)</f>
        <v>23176775.289999999</v>
      </c>
      <c r="F125" s="1145">
        <f t="shared" ref="F125:H125" si="4">SUM(F123:F124)</f>
        <v>23176775.289999999</v>
      </c>
      <c r="G125" s="1146">
        <f t="shared" si="4"/>
        <v>0</v>
      </c>
      <c r="H125" s="1147">
        <f t="shared" si="4"/>
        <v>0</v>
      </c>
    </row>
    <row r="126" spans="1:8" ht="13.5" customHeight="1" thickBot="1" x14ac:dyDescent="0.25">
      <c r="A126" s="1960" t="s">
        <v>1691</v>
      </c>
      <c r="B126" s="1961"/>
      <c r="C126" s="1961"/>
      <c r="D126" s="1962"/>
      <c r="E126" s="202">
        <v>100</v>
      </c>
      <c r="F126" s="1165">
        <f>F125/(E125)*100</f>
        <v>100</v>
      </c>
      <c r="G126" s="1166">
        <f>G125/(E125)*100</f>
        <v>0</v>
      </c>
      <c r="H126" s="1118">
        <v>0</v>
      </c>
    </row>
    <row r="127" spans="1:8" ht="12.75" customHeight="1" thickBot="1" x14ac:dyDescent="0.25">
      <c r="A127" s="1964" t="s">
        <v>549</v>
      </c>
      <c r="B127" s="1965"/>
      <c r="C127" s="1965"/>
      <c r="D127" s="1966"/>
      <c r="E127" s="241">
        <f>E121+E118+E109+E106+E76+E125</f>
        <v>44360110.469999999</v>
      </c>
      <c r="F127" s="1168">
        <f>F121+F118+F109+F106+F76+F125</f>
        <v>42734617.835999995</v>
      </c>
      <c r="G127" s="1169">
        <f>G121+G118+G109+G106+G76+G125</f>
        <v>1498116.5440000002</v>
      </c>
      <c r="H127" s="1170">
        <f>H121+H118+H109+H106+H76+H125</f>
        <v>127376.09</v>
      </c>
    </row>
    <row r="128" spans="1:8" ht="13.5" thickBot="1" x14ac:dyDescent="0.25">
      <c r="A128" s="1967" t="s">
        <v>550</v>
      </c>
      <c r="B128" s="1968"/>
      <c r="C128" s="242"/>
      <c r="D128" s="1164"/>
      <c r="E128" s="243">
        <v>100</v>
      </c>
      <c r="F128" s="1167">
        <f>F127/(E127)*100</f>
        <v>96.335688489551217</v>
      </c>
      <c r="G128" s="252">
        <f>G127/(E127)*100</f>
        <v>3.3771704536514879</v>
      </c>
      <c r="H128" s="253">
        <f>H127/E127*100</f>
        <v>0.28714105679728258</v>
      </c>
    </row>
    <row r="129" spans="1:10" x14ac:dyDescent="0.2">
      <c r="H129" s="9"/>
    </row>
    <row r="135" spans="1:10" s="5" customFormat="1" ht="13.5" customHeight="1" x14ac:dyDescent="0.2">
      <c r="A135"/>
      <c r="B135"/>
      <c r="C135"/>
      <c r="D135" s="1124"/>
      <c r="E135"/>
      <c r="F135"/>
      <c r="G135"/>
      <c r="H135"/>
      <c r="I135" s="1116"/>
      <c r="J135" s="1200"/>
    </row>
  </sheetData>
  <mergeCells count="45">
    <mergeCell ref="A53:D53"/>
    <mergeCell ref="A118:B118"/>
    <mergeCell ref="A119:D119"/>
    <mergeCell ref="A44:D44"/>
    <mergeCell ref="A48:G48"/>
    <mergeCell ref="A50:A52"/>
    <mergeCell ref="B50:B52"/>
    <mergeCell ref="D50:D52"/>
    <mergeCell ref="E50:E52"/>
    <mergeCell ref="F50:H50"/>
    <mergeCell ref="F51:F52"/>
    <mergeCell ref="G51:G52"/>
    <mergeCell ref="H51:H52"/>
    <mergeCell ref="A76:B76"/>
    <mergeCell ref="A77:D77"/>
    <mergeCell ref="B94:B96"/>
    <mergeCell ref="A3:G3"/>
    <mergeCell ref="A5:A7"/>
    <mergeCell ref="B5:B7"/>
    <mergeCell ref="D5:D7"/>
    <mergeCell ref="E5:E7"/>
    <mergeCell ref="F5:H5"/>
    <mergeCell ref="F6:F7"/>
    <mergeCell ref="G6:G7"/>
    <mergeCell ref="H6:H7"/>
    <mergeCell ref="A128:B128"/>
    <mergeCell ref="H95:H96"/>
    <mergeCell ref="A106:B106"/>
    <mergeCell ref="A107:D107"/>
    <mergeCell ref="A109:B109"/>
    <mergeCell ref="A110:D110"/>
    <mergeCell ref="A94:A96"/>
    <mergeCell ref="A121:B121"/>
    <mergeCell ref="D94:D96"/>
    <mergeCell ref="E94:E96"/>
    <mergeCell ref="F94:H94"/>
    <mergeCell ref="F95:F96"/>
    <mergeCell ref="G95:G96"/>
    <mergeCell ref="A125:B125"/>
    <mergeCell ref="A126:D126"/>
    <mergeCell ref="A89:D89"/>
    <mergeCell ref="A97:D97"/>
    <mergeCell ref="A122:D122"/>
    <mergeCell ref="A92:G92"/>
    <mergeCell ref="A127:D12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workbookViewId="0">
      <selection activeCell="C19" sqref="C19"/>
    </sheetView>
  </sheetViews>
  <sheetFormatPr defaultRowHeight="12.75" x14ac:dyDescent="0.2"/>
  <cols>
    <col min="1" max="1" width="3.7109375" customWidth="1"/>
    <col min="2" max="2" width="74.7109375" customWidth="1"/>
    <col min="3" max="3" width="12" customWidth="1"/>
    <col min="4" max="4" width="10.42578125" customWidth="1"/>
    <col min="5" max="5" width="13.140625" customWidth="1"/>
    <col min="6" max="6" width="12" customWidth="1"/>
    <col min="7" max="7" width="13.5703125" customWidth="1"/>
    <col min="8" max="8" width="11" customWidth="1"/>
    <col min="9" max="9" width="12.28515625" bestFit="1" customWidth="1"/>
  </cols>
  <sheetData>
    <row r="1" spans="1:9" x14ac:dyDescent="0.2">
      <c r="H1" s="324">
        <v>12</v>
      </c>
    </row>
    <row r="2" spans="1:9" ht="18" customHeight="1" x14ac:dyDescent="0.25">
      <c r="A2" s="1997" t="s">
        <v>1672</v>
      </c>
      <c r="B2" s="1997"/>
      <c r="C2" s="1997"/>
      <c r="D2" s="1997"/>
      <c r="E2" s="1997"/>
      <c r="F2" s="1997"/>
      <c r="G2" s="1997"/>
    </row>
    <row r="3" spans="1:9" ht="12.75" customHeight="1" thickBot="1" x14ac:dyDescent="0.25">
      <c r="A3" s="9"/>
      <c r="B3" s="9"/>
      <c r="C3" s="9"/>
      <c r="D3" s="9"/>
      <c r="E3" s="9"/>
      <c r="F3" s="9"/>
      <c r="G3" s="245"/>
    </row>
    <row r="4" spans="1:9" ht="12.6" customHeight="1" thickBot="1" x14ac:dyDescent="0.25">
      <c r="A4" s="1973" t="s">
        <v>462</v>
      </c>
      <c r="B4" s="1987" t="s">
        <v>86</v>
      </c>
      <c r="C4" s="178" t="s">
        <v>463</v>
      </c>
      <c r="D4" s="1998" t="s">
        <v>464</v>
      </c>
      <c r="E4" s="2001" t="s">
        <v>1695</v>
      </c>
      <c r="F4" s="1982" t="s">
        <v>551</v>
      </c>
      <c r="G4" s="1983"/>
      <c r="H4" s="1984"/>
    </row>
    <row r="5" spans="1:9" ht="12.6" customHeight="1" x14ac:dyDescent="0.2">
      <c r="A5" s="1974"/>
      <c r="B5" s="1988"/>
      <c r="C5" s="179" t="s">
        <v>1675</v>
      </c>
      <c r="D5" s="1999"/>
      <c r="E5" s="2002"/>
      <c r="F5" s="2004" t="s">
        <v>552</v>
      </c>
      <c r="G5" s="2006" t="s">
        <v>727</v>
      </c>
      <c r="H5" s="2008" t="s">
        <v>553</v>
      </c>
    </row>
    <row r="6" spans="1:9" ht="12" customHeight="1" thickBot="1" x14ac:dyDescent="0.25">
      <c r="A6" s="1975"/>
      <c r="B6" s="1989"/>
      <c r="C6" s="180" t="s">
        <v>468</v>
      </c>
      <c r="D6" s="2000"/>
      <c r="E6" s="2003"/>
      <c r="F6" s="2005"/>
      <c r="G6" s="2007"/>
      <c r="H6" s="2009"/>
    </row>
    <row r="7" spans="1:9" s="12" customFormat="1" ht="12" customHeight="1" thickBot="1" x14ac:dyDescent="0.25">
      <c r="A7" s="1174">
        <v>1</v>
      </c>
      <c r="B7" s="1150" t="s">
        <v>478</v>
      </c>
      <c r="C7" s="1175">
        <v>44657</v>
      </c>
      <c r="D7" s="1155" t="s">
        <v>1673</v>
      </c>
      <c r="E7" s="1308">
        <v>-32808.550000000003</v>
      </c>
      <c r="F7" s="1176">
        <v>32808.550000000003</v>
      </c>
      <c r="G7" s="1177">
        <v>0</v>
      </c>
      <c r="H7" s="1178">
        <v>0</v>
      </c>
      <c r="I7" s="82"/>
    </row>
    <row r="8" spans="1:9" ht="13.5" customHeight="1" thickBot="1" x14ac:dyDescent="0.25">
      <c r="A8" s="1971" t="s">
        <v>515</v>
      </c>
      <c r="B8" s="1972"/>
      <c r="C8" s="694"/>
      <c r="D8" s="246"/>
      <c r="E8" s="230">
        <f>SUM(E7:E7)</f>
        <v>-32808.550000000003</v>
      </c>
      <c r="F8" s="231">
        <f>SUM(F7:F7)</f>
        <v>32808.550000000003</v>
      </c>
      <c r="G8" s="232">
        <f>SUM(G7:G7)</f>
        <v>0</v>
      </c>
      <c r="H8" s="233">
        <f>SUM(H7:H7)</f>
        <v>0</v>
      </c>
      <c r="I8" s="4"/>
    </row>
    <row r="9" spans="1:9" ht="13.5" customHeight="1" thickBot="1" x14ac:dyDescent="0.25">
      <c r="A9" s="1964" t="s">
        <v>549</v>
      </c>
      <c r="B9" s="1965"/>
      <c r="C9" s="692"/>
      <c r="D9" s="248"/>
      <c r="E9" s="249">
        <f>E8</f>
        <v>-32808.550000000003</v>
      </c>
      <c r="F9" s="572">
        <f>F8</f>
        <v>32808.550000000003</v>
      </c>
      <c r="G9" s="573">
        <f>G8</f>
        <v>0</v>
      </c>
      <c r="H9" s="250">
        <f>H8</f>
        <v>0</v>
      </c>
    </row>
    <row r="10" spans="1:9" ht="13.5" customHeight="1" thickBot="1" x14ac:dyDescent="0.25">
      <c r="A10" s="1967" t="s">
        <v>557</v>
      </c>
      <c r="B10" s="1968"/>
      <c r="C10" s="693"/>
      <c r="D10" s="251"/>
      <c r="E10" s="243">
        <v>100</v>
      </c>
      <c r="F10" s="244">
        <f>F9/(-E9)*100</f>
        <v>100</v>
      </c>
      <c r="G10" s="252">
        <f>+G9/(-E9)*100</f>
        <v>0</v>
      </c>
      <c r="H10" s="253">
        <f>+H9/(-E9)*100</f>
        <v>0</v>
      </c>
    </row>
    <row r="11" spans="1:9" x14ac:dyDescent="0.2">
      <c r="F11" s="4"/>
    </row>
    <row r="12" spans="1:9" x14ac:dyDescent="0.2">
      <c r="G12" s="4"/>
    </row>
    <row r="13" spans="1:9" x14ac:dyDescent="0.2">
      <c r="F13" s="4"/>
      <c r="G13" s="4"/>
    </row>
  </sheetData>
  <mergeCells count="12">
    <mergeCell ref="A10:B10"/>
    <mergeCell ref="A2:G2"/>
    <mergeCell ref="A4:A6"/>
    <mergeCell ref="B4:B6"/>
    <mergeCell ref="D4:D6"/>
    <mergeCell ref="E4:E6"/>
    <mergeCell ref="A8:B8"/>
    <mergeCell ref="F4:H4"/>
    <mergeCell ref="F5:F6"/>
    <mergeCell ref="G5:G6"/>
    <mergeCell ref="H5:H6"/>
    <mergeCell ref="A9:B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3"/>
  <sheetViews>
    <sheetView workbookViewId="0">
      <selection activeCell="A37" sqref="A37"/>
    </sheetView>
  </sheetViews>
  <sheetFormatPr defaultRowHeight="12.75" x14ac:dyDescent="0.2"/>
  <cols>
    <col min="1" max="1" width="45.28515625" style="72" customWidth="1"/>
    <col min="2" max="2" width="10.7109375" style="72" customWidth="1"/>
    <col min="3" max="3" width="10.42578125" style="72" customWidth="1"/>
    <col min="4" max="4" width="10.140625" style="72" customWidth="1"/>
    <col min="5" max="5" width="8.5703125" style="72" customWidth="1"/>
    <col min="6" max="7" width="9.140625" style="72"/>
    <col min="8" max="8" width="11.7109375" style="72" bestFit="1" customWidth="1"/>
    <col min="9" max="9" width="15.140625" style="72" customWidth="1"/>
    <col min="10" max="16384" width="9.140625" style="72"/>
  </cols>
  <sheetData>
    <row r="1" spans="1:5" x14ac:dyDescent="0.2">
      <c r="D1" s="2011">
        <v>13</v>
      </c>
      <c r="E1" s="2011"/>
    </row>
    <row r="3" spans="1:5" ht="18" x14ac:dyDescent="0.25">
      <c r="A3" s="2012" t="s">
        <v>259</v>
      </c>
      <c r="B3" s="2012"/>
      <c r="C3" s="2012"/>
      <c r="D3" s="2012"/>
      <c r="E3" s="2012"/>
    </row>
    <row r="5" spans="1:5" ht="15.75" x14ac:dyDescent="0.25">
      <c r="A5" s="2013" t="s">
        <v>1145</v>
      </c>
      <c r="B5" s="2013"/>
      <c r="C5" s="2013"/>
      <c r="D5" s="2013"/>
      <c r="E5" s="2013"/>
    </row>
    <row r="6" spans="1:5" ht="12.75" customHeight="1" x14ac:dyDescent="0.25">
      <c r="A6" s="126"/>
      <c r="B6" s="126"/>
      <c r="C6" s="126"/>
      <c r="D6" s="126"/>
      <c r="E6" s="126"/>
    </row>
    <row r="7" spans="1:5" ht="13.5" thickBot="1" x14ac:dyDescent="0.25">
      <c r="E7" s="127" t="s">
        <v>70</v>
      </c>
    </row>
    <row r="8" spans="1:5" ht="12.75" customHeight="1" thickBot="1" x14ac:dyDescent="0.25">
      <c r="A8" s="954" t="s">
        <v>71</v>
      </c>
      <c r="B8" s="129" t="s">
        <v>1038</v>
      </c>
      <c r="C8" s="130" t="s">
        <v>987</v>
      </c>
      <c r="D8" s="130" t="s">
        <v>72</v>
      </c>
      <c r="E8" s="131" t="s">
        <v>73</v>
      </c>
    </row>
    <row r="9" spans="1:5" ht="12.75" customHeight="1" x14ac:dyDescent="0.2">
      <c r="A9" s="132" t="s">
        <v>1146</v>
      </c>
      <c r="B9" s="439">
        <v>0</v>
      </c>
      <c r="C9" s="440">
        <v>9354.8700000000008</v>
      </c>
      <c r="D9" s="133">
        <v>9354.8700000000008</v>
      </c>
      <c r="E9" s="134">
        <f>D9/C9</f>
        <v>1</v>
      </c>
    </row>
    <row r="10" spans="1:5" ht="25.5" customHeight="1" x14ac:dyDescent="0.2">
      <c r="A10" s="135" t="s">
        <v>1170</v>
      </c>
      <c r="B10" s="136">
        <v>9156.24</v>
      </c>
      <c r="C10" s="441">
        <v>9156.24</v>
      </c>
      <c r="D10" s="137">
        <v>9156.24</v>
      </c>
      <c r="E10" s="134">
        <f>D10/C10</f>
        <v>1</v>
      </c>
    </row>
    <row r="11" spans="1:5" ht="12.75" customHeight="1" x14ac:dyDescent="0.2">
      <c r="A11" s="138" t="s">
        <v>183</v>
      </c>
      <c r="B11" s="136">
        <v>0</v>
      </c>
      <c r="C11" s="441">
        <v>0</v>
      </c>
      <c r="D11" s="137">
        <v>0</v>
      </c>
      <c r="E11" s="139" t="s">
        <v>75</v>
      </c>
    </row>
    <row r="12" spans="1:5" ht="12.75" customHeight="1" thickBot="1" x14ac:dyDescent="0.25">
      <c r="A12" s="140" t="s">
        <v>74</v>
      </c>
      <c r="B12" s="141">
        <v>0</v>
      </c>
      <c r="C12" s="442">
        <v>0</v>
      </c>
      <c r="D12" s="142">
        <v>0</v>
      </c>
      <c r="E12" s="143" t="s">
        <v>75</v>
      </c>
    </row>
    <row r="13" spans="1:5" ht="13.5" thickBot="1" x14ac:dyDescent="0.25">
      <c r="A13" s="144" t="s">
        <v>2016</v>
      </c>
      <c r="B13" s="145">
        <f>SUM(B9:B12)</f>
        <v>9156.24</v>
      </c>
      <c r="C13" s="146">
        <f>SUM(C9:C12)</f>
        <v>18511.11</v>
      </c>
      <c r="D13" s="147">
        <f>SUM(D9:D12)</f>
        <v>18511.11</v>
      </c>
      <c r="E13" s="148">
        <f>D13/C13</f>
        <v>1</v>
      </c>
    </row>
    <row r="14" spans="1:5" x14ac:dyDescent="0.2">
      <c r="A14" s="73"/>
      <c r="B14" s="149"/>
      <c r="C14" s="149"/>
      <c r="D14" s="149"/>
      <c r="E14" s="75"/>
    </row>
    <row r="15" spans="1:5" x14ac:dyDescent="0.2">
      <c r="A15" s="73"/>
      <c r="B15" s="149"/>
      <c r="C15" s="149"/>
      <c r="D15" s="149"/>
      <c r="E15" s="75"/>
    </row>
    <row r="16" spans="1:5" ht="15.75" x14ac:dyDescent="0.25">
      <c r="A16" s="2013" t="s">
        <v>1139</v>
      </c>
      <c r="B16" s="2013"/>
      <c r="C16" s="2013"/>
      <c r="D16" s="2013"/>
      <c r="E16" s="2013"/>
    </row>
    <row r="17" spans="1:9" ht="12.75" customHeight="1" x14ac:dyDescent="0.25">
      <c r="A17" s="126"/>
      <c r="B17" s="126"/>
      <c r="C17" s="126"/>
      <c r="D17" s="126"/>
      <c r="E17" s="126"/>
    </row>
    <row r="18" spans="1:9" ht="12.75" customHeight="1" thickBot="1" x14ac:dyDescent="0.3">
      <c r="A18" s="126"/>
      <c r="B18" s="126"/>
      <c r="C18" s="126"/>
      <c r="D18" s="126"/>
      <c r="E18" s="127" t="s">
        <v>70</v>
      </c>
    </row>
    <row r="19" spans="1:9" ht="12.75" customHeight="1" thickBot="1" x14ac:dyDescent="0.25">
      <c r="A19" s="128" t="s">
        <v>71</v>
      </c>
      <c r="B19" s="129" t="s">
        <v>1038</v>
      </c>
      <c r="C19" s="130" t="s">
        <v>987</v>
      </c>
      <c r="D19" s="130" t="s">
        <v>72</v>
      </c>
      <c r="E19" s="131" t="s">
        <v>73</v>
      </c>
    </row>
    <row r="20" spans="1:9" ht="12.75" customHeight="1" x14ac:dyDescent="0.2">
      <c r="A20" s="132" t="s">
        <v>260</v>
      </c>
      <c r="B20" s="443">
        <v>2500</v>
      </c>
      <c r="C20" s="133">
        <v>4050.8728099999998</v>
      </c>
      <c r="D20" s="133">
        <v>1230.4354000000001</v>
      </c>
      <c r="E20" s="150">
        <f t="shared" ref="E20:E30" si="0">D20/C20</f>
        <v>0.30374575004244581</v>
      </c>
    </row>
    <row r="21" spans="1:9" ht="12.75" customHeight="1" x14ac:dyDescent="0.2">
      <c r="A21" s="151" t="s">
        <v>261</v>
      </c>
      <c r="B21" s="444">
        <v>500</v>
      </c>
      <c r="C21" s="152">
        <v>605</v>
      </c>
      <c r="D21" s="152">
        <v>235.2</v>
      </c>
      <c r="E21" s="153">
        <f t="shared" si="0"/>
        <v>0.38876033057851239</v>
      </c>
    </row>
    <row r="22" spans="1:9" ht="12.75" customHeight="1" x14ac:dyDescent="0.2">
      <c r="A22" s="151" t="s">
        <v>262</v>
      </c>
      <c r="B22" s="444">
        <v>3756.24</v>
      </c>
      <c r="C22" s="152">
        <v>7256.24</v>
      </c>
      <c r="D22" s="152">
        <v>3478.7</v>
      </c>
      <c r="E22" s="153">
        <f t="shared" si="0"/>
        <v>0.47940806809036085</v>
      </c>
    </row>
    <row r="23" spans="1:9" ht="12.75" customHeight="1" x14ac:dyDescent="0.2">
      <c r="A23" s="151" t="s">
        <v>450</v>
      </c>
      <c r="B23" s="444">
        <v>1500</v>
      </c>
      <c r="C23" s="152">
        <v>3550</v>
      </c>
      <c r="D23" s="152">
        <v>1012.5</v>
      </c>
      <c r="E23" s="153">
        <f t="shared" si="0"/>
        <v>0.28521126760563381</v>
      </c>
    </row>
    <row r="24" spans="1:9" ht="12.75" customHeight="1" x14ac:dyDescent="0.2">
      <c r="A24" s="151" t="s">
        <v>263</v>
      </c>
      <c r="B24" s="444">
        <v>190</v>
      </c>
      <c r="C24" s="152">
        <v>324</v>
      </c>
      <c r="D24" s="152">
        <v>0</v>
      </c>
      <c r="E24" s="153">
        <f t="shared" si="0"/>
        <v>0</v>
      </c>
    </row>
    <row r="25" spans="1:9" ht="12.75" customHeight="1" x14ac:dyDescent="0.2">
      <c r="A25" s="151" t="s">
        <v>264</v>
      </c>
      <c r="B25" s="444">
        <v>500</v>
      </c>
      <c r="C25" s="152">
        <v>1465</v>
      </c>
      <c r="D25" s="152">
        <v>20</v>
      </c>
      <c r="E25" s="153">
        <f t="shared" si="0"/>
        <v>1.3651877133105802E-2</v>
      </c>
    </row>
    <row r="26" spans="1:9" ht="12.75" customHeight="1" x14ac:dyDescent="0.2">
      <c r="A26" s="151" t="s">
        <v>265</v>
      </c>
      <c r="B26" s="444">
        <v>100</v>
      </c>
      <c r="C26" s="152">
        <v>600</v>
      </c>
      <c r="D26" s="152">
        <v>0</v>
      </c>
      <c r="E26" s="153">
        <f t="shared" si="0"/>
        <v>0</v>
      </c>
    </row>
    <row r="27" spans="1:9" ht="12.75" customHeight="1" x14ac:dyDescent="0.2">
      <c r="A27" s="151" t="s">
        <v>266</v>
      </c>
      <c r="B27" s="444">
        <v>100</v>
      </c>
      <c r="C27" s="152">
        <v>150</v>
      </c>
      <c r="D27" s="152">
        <v>55</v>
      </c>
      <c r="E27" s="153">
        <f t="shared" si="0"/>
        <v>0.36666666666666664</v>
      </c>
    </row>
    <row r="28" spans="1:9" ht="12.75" customHeight="1" x14ac:dyDescent="0.2">
      <c r="A28" s="151" t="s">
        <v>412</v>
      </c>
      <c r="B28" s="438">
        <v>10</v>
      </c>
      <c r="C28" s="154">
        <v>10</v>
      </c>
      <c r="D28" s="154">
        <v>0</v>
      </c>
      <c r="E28" s="155" t="s">
        <v>75</v>
      </c>
    </row>
    <row r="29" spans="1:9" ht="12.75" customHeight="1" thickBot="1" x14ac:dyDescent="0.25">
      <c r="A29" s="156" t="s">
        <v>267</v>
      </c>
      <c r="B29" s="445">
        <v>0</v>
      </c>
      <c r="C29" s="157">
        <v>500</v>
      </c>
      <c r="D29" s="157">
        <v>0</v>
      </c>
      <c r="E29" s="158">
        <f t="shared" si="0"/>
        <v>0</v>
      </c>
    </row>
    <row r="30" spans="1:9" ht="12.75" customHeight="1" thickBot="1" x14ac:dyDescent="0.25">
      <c r="A30" s="144" t="s">
        <v>2017</v>
      </c>
      <c r="B30" s="159">
        <f>SUM(B20:B29)</f>
        <v>9156.24</v>
      </c>
      <c r="C30" s="146">
        <f>SUM(C20:C29)</f>
        <v>18511.112809999999</v>
      </c>
      <c r="D30" s="146">
        <f>SUM(D20:D29)</f>
        <v>6031.8353999999999</v>
      </c>
      <c r="E30" s="148">
        <f t="shared" si="0"/>
        <v>0.32584942147516416</v>
      </c>
      <c r="H30" s="173"/>
      <c r="I30" s="173"/>
    </row>
    <row r="31" spans="1:9" x14ac:dyDescent="0.2">
      <c r="A31" s="160"/>
      <c r="B31" s="161"/>
      <c r="C31" s="161"/>
      <c r="D31" s="161"/>
      <c r="E31" s="162"/>
    </row>
    <row r="32" spans="1:9" x14ac:dyDescent="0.2">
      <c r="A32" s="160"/>
      <c r="B32" s="161"/>
      <c r="C32" s="161"/>
      <c r="D32" s="161"/>
      <c r="E32" s="162"/>
    </row>
    <row r="33" spans="1:5" ht="15.75" x14ac:dyDescent="0.25">
      <c r="A33" s="2014" t="s">
        <v>1140</v>
      </c>
      <c r="B33" s="2014"/>
      <c r="C33" s="2014"/>
      <c r="D33" s="2014"/>
      <c r="E33" s="2014"/>
    </row>
    <row r="34" spans="1:5" x14ac:dyDescent="0.2">
      <c r="A34" s="160"/>
      <c r="B34" s="161"/>
      <c r="C34" s="161"/>
      <c r="D34" s="161"/>
      <c r="E34" s="162"/>
    </row>
    <row r="35" spans="1:5" ht="13.5" thickBot="1" x14ac:dyDescent="0.25">
      <c r="B35" s="163"/>
      <c r="C35" s="163"/>
      <c r="D35" s="163"/>
      <c r="E35" s="127" t="s">
        <v>70</v>
      </c>
    </row>
    <row r="36" spans="1:5" ht="34.5" thickBot="1" x14ac:dyDescent="0.25">
      <c r="A36" s="164" t="s">
        <v>76</v>
      </c>
      <c r="B36" s="165" t="s">
        <v>1142</v>
      </c>
      <c r="C36" s="166" t="s">
        <v>1143</v>
      </c>
      <c r="D36" s="167" t="s">
        <v>1144</v>
      </c>
      <c r="E36" s="168" t="s">
        <v>77</v>
      </c>
    </row>
    <row r="37" spans="1:5" ht="13.5" thickBot="1" x14ac:dyDescent="0.25">
      <c r="A37" s="169" t="s">
        <v>1141</v>
      </c>
      <c r="B37" s="170">
        <f>D13</f>
        <v>18511.11</v>
      </c>
      <c r="C37" s="171">
        <f>D30</f>
        <v>6031.8353999999999</v>
      </c>
      <c r="D37" s="171">
        <f>+D13-D30</f>
        <v>12479.274600000001</v>
      </c>
      <c r="E37" s="172" t="s">
        <v>277</v>
      </c>
    </row>
    <row r="38" spans="1:5" ht="9" customHeight="1" x14ac:dyDescent="0.2">
      <c r="E38" s="173"/>
    </row>
    <row r="39" spans="1:5" ht="39.75" customHeight="1" x14ac:dyDescent="0.2">
      <c r="A39" s="2010" t="s">
        <v>1147</v>
      </c>
      <c r="B39" s="2010"/>
      <c r="C39" s="2010"/>
      <c r="D39" s="2010"/>
      <c r="E39" s="2010"/>
    </row>
    <row r="40" spans="1:5" ht="12.75" customHeight="1" x14ac:dyDescent="0.2">
      <c r="A40" s="446"/>
      <c r="B40" s="446"/>
      <c r="C40" s="446"/>
      <c r="D40" s="446"/>
      <c r="E40" s="446"/>
    </row>
    <row r="41" spans="1:5" ht="12.75" customHeight="1" x14ac:dyDescent="0.2">
      <c r="A41" s="447"/>
      <c r="B41" s="447"/>
      <c r="C41" s="447"/>
      <c r="D41" s="447"/>
      <c r="E41" s="447"/>
    </row>
    <row r="42" spans="1:5" x14ac:dyDescent="0.2">
      <c r="A42" s="447"/>
      <c r="B42" s="447"/>
      <c r="C42" s="447"/>
      <c r="D42" s="447"/>
      <c r="E42" s="447"/>
    </row>
    <row r="43" spans="1:5" x14ac:dyDescent="0.2">
      <c r="B43" s="163"/>
    </row>
  </sheetData>
  <mergeCells count="6">
    <mergeCell ref="A39:E39"/>
    <mergeCell ref="D1:E1"/>
    <mergeCell ref="A3:E3"/>
    <mergeCell ref="A5:E5"/>
    <mergeCell ref="A16:E16"/>
    <mergeCell ref="A33:E3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1DF0-CDD2-4A60-A48D-B5661B3F5F84}">
  <dimension ref="A1:J136"/>
  <sheetViews>
    <sheetView zoomScaleNormal="100" workbookViewId="0">
      <selection activeCell="H38" sqref="H38"/>
    </sheetView>
  </sheetViews>
  <sheetFormatPr defaultRowHeight="12.75" x14ac:dyDescent="0.2"/>
  <cols>
    <col min="1" max="1" width="44.140625" style="1519" customWidth="1"/>
    <col min="2" max="2" width="3.7109375" style="1519" customWidth="1"/>
    <col min="3" max="3" width="9" style="1519" bestFit="1" customWidth="1"/>
    <col min="4" max="4" width="10.85546875" style="1519" customWidth="1"/>
    <col min="5" max="5" width="9.5703125" style="1519" customWidth="1"/>
    <col min="6" max="6" width="9.140625" style="1519" customWidth="1"/>
    <col min="7" max="7" width="9.140625" style="1519"/>
    <col min="8" max="8" width="11.42578125" style="1519" customWidth="1"/>
    <col min="9" max="9" width="13.42578125" style="1519" bestFit="1" customWidth="1"/>
    <col min="10" max="10" width="17" style="1519" customWidth="1"/>
    <col min="11" max="16384" width="9.140625" style="1519"/>
  </cols>
  <sheetData>
    <row r="1" spans="1:10" x14ac:dyDescent="0.2">
      <c r="E1" s="2017" t="s">
        <v>808</v>
      </c>
      <c r="F1" s="2017"/>
    </row>
    <row r="3" spans="1:10" ht="18" x14ac:dyDescent="0.25">
      <c r="A3" s="2018" t="s">
        <v>324</v>
      </c>
      <c r="B3" s="2018"/>
      <c r="C3" s="2018"/>
      <c r="D3" s="2018"/>
      <c r="E3" s="2018"/>
      <c r="F3" s="2018"/>
    </row>
    <row r="5" spans="1:10" ht="15.75" x14ac:dyDescent="0.25">
      <c r="A5" s="2019" t="s">
        <v>1148</v>
      </c>
      <c r="B5" s="2019"/>
      <c r="C5" s="2019"/>
      <c r="D5" s="2019"/>
      <c r="E5" s="2019"/>
      <c r="F5" s="2019"/>
    </row>
    <row r="6" spans="1:10" ht="12.75" customHeight="1" x14ac:dyDescent="0.25">
      <c r="A6" s="1520"/>
      <c r="B6" s="1520"/>
      <c r="C6" s="1520"/>
      <c r="D6" s="1520"/>
      <c r="E6" s="1520"/>
      <c r="F6" s="1520"/>
    </row>
    <row r="7" spans="1:10" ht="12.75" customHeight="1" thickBot="1" x14ac:dyDescent="0.25">
      <c r="F7" s="1521" t="s">
        <v>70</v>
      </c>
    </row>
    <row r="8" spans="1:10" ht="12.75" customHeight="1" thickBot="1" x14ac:dyDescent="0.25">
      <c r="A8" s="1522" t="s">
        <v>71</v>
      </c>
      <c r="B8" s="2020" t="s">
        <v>1038</v>
      </c>
      <c r="C8" s="2021"/>
      <c r="D8" s="1523" t="s">
        <v>987</v>
      </c>
      <c r="E8" s="1523" t="s">
        <v>72</v>
      </c>
      <c r="F8" s="1524" t="s">
        <v>73</v>
      </c>
    </row>
    <row r="9" spans="1:10" ht="12.75" customHeight="1" x14ac:dyDescent="0.2">
      <c r="A9" s="1525" t="s">
        <v>1149</v>
      </c>
      <c r="B9" s="2015">
        <v>0</v>
      </c>
      <c r="C9" s="2016"/>
      <c r="D9" s="1526">
        <v>45629.43</v>
      </c>
      <c r="E9" s="1527">
        <v>45629.43</v>
      </c>
      <c r="F9" s="1528">
        <f>E9/D9</f>
        <v>1</v>
      </c>
      <c r="I9" s="1529"/>
      <c r="J9" s="1530"/>
    </row>
    <row r="10" spans="1:10" ht="12.75" customHeight="1" x14ac:dyDescent="0.2">
      <c r="A10" s="1531" t="s">
        <v>1150</v>
      </c>
      <c r="B10" s="2022">
        <v>83113.63</v>
      </c>
      <c r="C10" s="2023"/>
      <c r="D10" s="1532">
        <v>120076.19</v>
      </c>
      <c r="E10" s="1532">
        <v>120076.19</v>
      </c>
      <c r="F10" s="1528">
        <f>E10/D10</f>
        <v>1</v>
      </c>
    </row>
    <row r="11" spans="1:10" ht="12.75" customHeight="1" x14ac:dyDescent="0.2">
      <c r="A11" s="1531" t="s">
        <v>379</v>
      </c>
      <c r="B11" s="2022">
        <v>0</v>
      </c>
      <c r="C11" s="2023"/>
      <c r="D11" s="1532">
        <v>34.021680000000003</v>
      </c>
      <c r="E11" s="1532">
        <v>1217.6104700000001</v>
      </c>
      <c r="F11" s="1528">
        <f>E11/D11</f>
        <v>35.7892517359519</v>
      </c>
    </row>
    <row r="12" spans="1:10" ht="12.75" customHeight="1" thickBot="1" x14ac:dyDescent="0.25">
      <c r="A12" s="1531" t="s">
        <v>74</v>
      </c>
      <c r="B12" s="2024">
        <v>0</v>
      </c>
      <c r="C12" s="2025"/>
      <c r="D12" s="1532">
        <v>0</v>
      </c>
      <c r="E12" s="1532">
        <v>0</v>
      </c>
      <c r="F12" s="1533" t="s">
        <v>75</v>
      </c>
      <c r="I12" s="1534"/>
    </row>
    <row r="13" spans="1:10" ht="12.75" customHeight="1" thickBot="1" x14ac:dyDescent="0.25">
      <c r="A13" s="1535" t="s">
        <v>1151</v>
      </c>
      <c r="B13" s="2026">
        <f>SUM(B9:C12)</f>
        <v>83113.63</v>
      </c>
      <c r="C13" s="2027"/>
      <c r="D13" s="1536">
        <f>SUM(D9:D12)</f>
        <v>165739.64168</v>
      </c>
      <c r="E13" s="1537">
        <f>SUM(E9:E12)</f>
        <v>166923.23047000001</v>
      </c>
      <c r="F13" s="1538">
        <f>E13/D13</f>
        <v>1.0071412534623745</v>
      </c>
      <c r="H13" s="1529"/>
      <c r="I13" s="1534"/>
    </row>
    <row r="14" spans="1:10" x14ac:dyDescent="0.2">
      <c r="A14" s="1539"/>
      <c r="B14" s="1539"/>
      <c r="C14" s="1540"/>
      <c r="D14" s="1540"/>
      <c r="E14" s="1540"/>
      <c r="F14" s="1541"/>
      <c r="H14" s="1529"/>
    </row>
    <row r="15" spans="1:10" x14ac:dyDescent="0.2">
      <c r="A15" s="1539"/>
      <c r="B15" s="1539"/>
      <c r="C15" s="1540"/>
      <c r="D15" s="1540"/>
      <c r="E15" s="1540"/>
      <c r="F15" s="1541"/>
      <c r="H15" s="1529"/>
      <c r="I15" s="1529"/>
    </row>
    <row r="16" spans="1:10" ht="15.75" x14ac:dyDescent="0.25">
      <c r="A16" s="2019" t="s">
        <v>1153</v>
      </c>
      <c r="B16" s="2019"/>
      <c r="C16" s="2019"/>
      <c r="D16" s="2019"/>
      <c r="E16" s="2019"/>
      <c r="F16" s="2019"/>
      <c r="H16" s="1529"/>
    </row>
    <row r="17" spans="1:10" ht="12.75" customHeight="1" x14ac:dyDescent="0.25">
      <c r="A17" s="1520"/>
      <c r="B17" s="1520"/>
      <c r="C17" s="1520"/>
      <c r="D17" s="1520"/>
      <c r="E17" s="1520"/>
      <c r="F17" s="1520"/>
    </row>
    <row r="18" spans="1:10" ht="12.75" customHeight="1" thickBot="1" x14ac:dyDescent="0.3">
      <c r="A18" s="1520"/>
      <c r="B18" s="1520"/>
      <c r="C18" s="1520"/>
      <c r="D18" s="1520"/>
      <c r="E18" s="1520"/>
      <c r="F18" s="1521" t="s">
        <v>70</v>
      </c>
    </row>
    <row r="19" spans="1:10" ht="12.75" customHeight="1" thickBot="1" x14ac:dyDescent="0.25">
      <c r="A19" s="1522" t="s">
        <v>71</v>
      </c>
      <c r="B19" s="2020" t="s">
        <v>1038</v>
      </c>
      <c r="C19" s="2021"/>
      <c r="D19" s="1523" t="s">
        <v>987</v>
      </c>
      <c r="E19" s="1523" t="s">
        <v>72</v>
      </c>
      <c r="F19" s="1524" t="s">
        <v>73</v>
      </c>
    </row>
    <row r="20" spans="1:10" ht="12.75" customHeight="1" x14ac:dyDescent="0.2">
      <c r="A20" s="1542" t="s">
        <v>278</v>
      </c>
      <c r="B20" s="2015">
        <v>0</v>
      </c>
      <c r="C20" s="2016"/>
      <c r="D20" s="1543">
        <v>16080.78</v>
      </c>
      <c r="E20" s="1543">
        <v>14401.7382</v>
      </c>
      <c r="F20" s="1544">
        <f t="shared" ref="F20:F29" si="0">E20/D20</f>
        <v>0.89558704241958409</v>
      </c>
    </row>
    <row r="21" spans="1:10" ht="12.75" customHeight="1" x14ac:dyDescent="0.2">
      <c r="A21" s="1545" t="s">
        <v>285</v>
      </c>
      <c r="B21" s="2022">
        <v>0</v>
      </c>
      <c r="C21" s="2023"/>
      <c r="D21" s="1532">
        <v>37075.199999999997</v>
      </c>
      <c r="E21" s="1532">
        <v>31442.077939999999</v>
      </c>
      <c r="F21" s="1544">
        <f>E21/D21</f>
        <v>0.84806226102623861</v>
      </c>
    </row>
    <row r="22" spans="1:10" ht="12.75" customHeight="1" x14ac:dyDescent="0.2">
      <c r="A22" s="1545" t="s">
        <v>1156</v>
      </c>
      <c r="B22" s="2022">
        <v>83113.63</v>
      </c>
      <c r="C22" s="2023"/>
      <c r="D22" s="1532">
        <v>0</v>
      </c>
      <c r="E22" s="1532">
        <v>0</v>
      </c>
      <c r="F22" s="1546" t="s">
        <v>75</v>
      </c>
    </row>
    <row r="23" spans="1:10" ht="12.75" customHeight="1" x14ac:dyDescent="0.2">
      <c r="A23" s="1531" t="s">
        <v>279</v>
      </c>
      <c r="B23" s="2022">
        <v>0</v>
      </c>
      <c r="C23" s="2023"/>
      <c r="D23" s="1532">
        <v>35056.32</v>
      </c>
      <c r="E23" s="1532">
        <v>30770.991999999998</v>
      </c>
      <c r="F23" s="1544">
        <f t="shared" si="0"/>
        <v>0.87775876075982873</v>
      </c>
    </row>
    <row r="24" spans="1:10" ht="12.75" customHeight="1" x14ac:dyDescent="0.2">
      <c r="A24" s="1531" t="s">
        <v>225</v>
      </c>
      <c r="B24" s="2022">
        <v>0</v>
      </c>
      <c r="C24" s="2023"/>
      <c r="D24" s="1532">
        <v>1072.77</v>
      </c>
      <c r="E24" s="1532">
        <v>979.31500000000005</v>
      </c>
      <c r="F24" s="1544">
        <f t="shared" si="0"/>
        <v>0.91288440206195187</v>
      </c>
    </row>
    <row r="25" spans="1:10" ht="12.75" customHeight="1" x14ac:dyDescent="0.2">
      <c r="A25" s="1531" t="s">
        <v>280</v>
      </c>
      <c r="B25" s="2022">
        <v>0</v>
      </c>
      <c r="C25" s="2023"/>
      <c r="D25" s="1532">
        <v>24895.03</v>
      </c>
      <c r="E25" s="1532">
        <v>6005.0482000000002</v>
      </c>
      <c r="F25" s="1544">
        <f t="shared" si="0"/>
        <v>0.24121474045221075</v>
      </c>
    </row>
    <row r="26" spans="1:10" ht="12.75" customHeight="1" x14ac:dyDescent="0.2">
      <c r="A26" s="1531" t="s">
        <v>281</v>
      </c>
      <c r="B26" s="2022">
        <v>0</v>
      </c>
      <c r="C26" s="2023"/>
      <c r="D26" s="1532">
        <v>19166.490000000002</v>
      </c>
      <c r="E26" s="1532">
        <v>10615.422790000001</v>
      </c>
      <c r="F26" s="1544">
        <f t="shared" si="0"/>
        <v>0.5538532506473538</v>
      </c>
    </row>
    <row r="27" spans="1:10" ht="12.75" customHeight="1" x14ac:dyDescent="0.2">
      <c r="A27" s="1531" t="s">
        <v>282</v>
      </c>
      <c r="B27" s="2022">
        <v>0</v>
      </c>
      <c r="C27" s="2023"/>
      <c r="D27" s="1532">
        <v>29878.33</v>
      </c>
      <c r="E27" s="1532">
        <v>12914.142589999999</v>
      </c>
      <c r="F27" s="1544">
        <f t="shared" si="0"/>
        <v>0.43222437766769423</v>
      </c>
    </row>
    <row r="28" spans="1:10" ht="12.75" customHeight="1" thickBot="1" x14ac:dyDescent="0.25">
      <c r="A28" s="1531" t="s">
        <v>283</v>
      </c>
      <c r="B28" s="2022">
        <v>0</v>
      </c>
      <c r="C28" s="2023"/>
      <c r="D28" s="1532">
        <v>2514.7199999999998</v>
      </c>
      <c r="E28" s="1532">
        <v>1330.723</v>
      </c>
      <c r="F28" s="1528">
        <f t="shared" si="0"/>
        <v>0.5291734268626328</v>
      </c>
    </row>
    <row r="29" spans="1:10" ht="12.75" customHeight="1" thickBot="1" x14ac:dyDescent="0.25">
      <c r="A29" s="1535" t="s">
        <v>1152</v>
      </c>
      <c r="B29" s="2026">
        <f>SUM(B20:C28)</f>
        <v>83113.63</v>
      </c>
      <c r="C29" s="2027"/>
      <c r="D29" s="1537">
        <f>SUM(D20:D28)</f>
        <v>165739.63999999998</v>
      </c>
      <c r="E29" s="1537">
        <f>SUM(E20:E28)</f>
        <v>108459.45972</v>
      </c>
      <c r="F29" s="1538">
        <f t="shared" si="0"/>
        <v>0.65439661700725316</v>
      </c>
      <c r="I29" s="1529"/>
      <c r="J29" s="1529"/>
    </row>
    <row r="30" spans="1:10" x14ac:dyDescent="0.2">
      <c r="A30" s="1547"/>
      <c r="B30" s="1547"/>
      <c r="C30" s="1548"/>
      <c r="D30" s="1548"/>
      <c r="E30" s="1548"/>
      <c r="F30" s="1549"/>
    </row>
    <row r="31" spans="1:10" x14ac:dyDescent="0.2">
      <c r="A31" s="1547"/>
      <c r="B31" s="1547"/>
      <c r="C31" s="1548"/>
      <c r="D31" s="1548"/>
      <c r="E31" s="1548"/>
      <c r="F31" s="1549"/>
      <c r="I31" s="1541"/>
      <c r="J31" s="1541"/>
    </row>
    <row r="32" spans="1:10" ht="15.75" x14ac:dyDescent="0.25">
      <c r="A32" s="2019" t="s">
        <v>1154</v>
      </c>
      <c r="B32" s="2019"/>
      <c r="C32" s="2019"/>
      <c r="D32" s="2019"/>
      <c r="E32" s="2019"/>
      <c r="F32" s="2019"/>
    </row>
    <row r="33" spans="1:6" ht="12.75" customHeight="1" x14ac:dyDescent="0.2">
      <c r="A33" s="1547"/>
      <c r="B33" s="1547"/>
      <c r="C33" s="1548"/>
      <c r="D33" s="1548"/>
      <c r="E33" s="1548"/>
      <c r="F33" s="1549"/>
    </row>
    <row r="34" spans="1:6" ht="12.75" customHeight="1" thickBot="1" x14ac:dyDescent="0.25">
      <c r="C34" s="1550"/>
      <c r="D34" s="1550"/>
      <c r="E34" s="1550"/>
      <c r="F34" s="1521" t="s">
        <v>70</v>
      </c>
    </row>
    <row r="35" spans="1:6" ht="35.25" customHeight="1" thickBot="1" x14ac:dyDescent="0.25">
      <c r="A35" s="1551" t="s">
        <v>76</v>
      </c>
      <c r="B35" s="2030" t="s">
        <v>1142</v>
      </c>
      <c r="C35" s="2031"/>
      <c r="D35" s="1552" t="s">
        <v>1143</v>
      </c>
      <c r="E35" s="1553" t="s">
        <v>1155</v>
      </c>
      <c r="F35" s="1554" t="s">
        <v>77</v>
      </c>
    </row>
    <row r="36" spans="1:6" ht="12.75" customHeight="1" thickBot="1" x14ac:dyDescent="0.25">
      <c r="A36" s="1555" t="s">
        <v>1999</v>
      </c>
      <c r="B36" s="2028">
        <f>E13</f>
        <v>166923.23047000001</v>
      </c>
      <c r="C36" s="2029"/>
      <c r="D36" s="1556">
        <f>E29</f>
        <v>108459.45972</v>
      </c>
      <c r="E36" s="1556">
        <f>+E13-E29</f>
        <v>58463.770750000011</v>
      </c>
      <c r="F36" s="1557" t="s">
        <v>277</v>
      </c>
    </row>
    <row r="38" spans="1:6" x14ac:dyDescent="0.2">
      <c r="A38" s="2034" t="s">
        <v>2000</v>
      </c>
      <c r="B38" s="2034"/>
      <c r="C38" s="2034"/>
      <c r="D38" s="2034"/>
      <c r="E38" s="2034"/>
    </row>
    <row r="39" spans="1:6" x14ac:dyDescent="0.2">
      <c r="A39" s="2034" t="s">
        <v>2001</v>
      </c>
      <c r="B39" s="2034"/>
      <c r="C39" s="2034"/>
      <c r="D39" s="2034"/>
      <c r="E39" s="2034"/>
    </row>
    <row r="40" spans="1:6" ht="26.25" customHeight="1" x14ac:dyDescent="0.2">
      <c r="A40" s="2035" t="s">
        <v>2002</v>
      </c>
      <c r="B40" s="2035"/>
      <c r="C40" s="2035"/>
      <c r="D40" s="2035"/>
      <c r="E40" s="2035"/>
    </row>
    <row r="58" spans="1:6" ht="12.75" customHeight="1" x14ac:dyDescent="0.2">
      <c r="A58" s="1558"/>
      <c r="B58" s="1558"/>
      <c r="C58" s="1558"/>
      <c r="D58" s="1558"/>
      <c r="E58" s="2017" t="s">
        <v>807</v>
      </c>
      <c r="F58" s="2017"/>
    </row>
    <row r="59" spans="1:6" ht="18.75" customHeight="1" x14ac:dyDescent="0.2">
      <c r="A59" s="2032" t="s">
        <v>324</v>
      </c>
      <c r="B59" s="2032"/>
      <c r="C59" s="2032"/>
      <c r="D59" s="2032"/>
      <c r="E59" s="2032"/>
      <c r="F59" s="2032"/>
    </row>
    <row r="60" spans="1:6" ht="11.25" customHeight="1" x14ac:dyDescent="0.2">
      <c r="A60" s="1558"/>
      <c r="B60" s="1558"/>
      <c r="C60" s="1558"/>
      <c r="D60" s="1558"/>
      <c r="E60" s="1558"/>
      <c r="F60" s="1558"/>
    </row>
    <row r="61" spans="1:6" ht="15.75" customHeight="1" x14ac:dyDescent="0.2">
      <c r="A61" s="2033" t="s">
        <v>1153</v>
      </c>
      <c r="B61" s="2033"/>
      <c r="C61" s="2033"/>
      <c r="D61" s="2033"/>
      <c r="E61" s="2033"/>
      <c r="F61" s="2033"/>
    </row>
    <row r="62" spans="1:6" ht="12" customHeight="1" thickBot="1" x14ac:dyDescent="0.25">
      <c r="A62" s="1558"/>
      <c r="B62" s="1558"/>
      <c r="C62" s="1558"/>
      <c r="D62" s="1558"/>
      <c r="E62" s="1558"/>
      <c r="F62" s="1521" t="s">
        <v>70</v>
      </c>
    </row>
    <row r="63" spans="1:6" ht="12.75" customHeight="1" thickBot="1" x14ac:dyDescent="0.25">
      <c r="A63" s="1559" t="s">
        <v>325</v>
      </c>
      <c r="B63" s="1560" t="s">
        <v>27</v>
      </c>
      <c r="C63" s="1561" t="s">
        <v>1038</v>
      </c>
      <c r="D63" s="1523" t="s">
        <v>987</v>
      </c>
      <c r="E63" s="1523" t="s">
        <v>72</v>
      </c>
      <c r="F63" s="1524" t="s">
        <v>73</v>
      </c>
    </row>
    <row r="64" spans="1:6" ht="12.75" customHeight="1" x14ac:dyDescent="0.2">
      <c r="A64" s="1562" t="s">
        <v>326</v>
      </c>
      <c r="B64" s="1563"/>
      <c r="C64" s="1564">
        <f>SUM(C65:C68)</f>
        <v>0</v>
      </c>
      <c r="D64" s="1565">
        <f>SUM(D65:D68)</f>
        <v>16080.78</v>
      </c>
      <c r="E64" s="1565">
        <f>SUM(E65:E68)</f>
        <v>14401.738200000002</v>
      </c>
      <c r="F64" s="1566">
        <f t="shared" ref="F64:F78" si="1">E64/D64</f>
        <v>0.8955870424195842</v>
      </c>
    </row>
    <row r="65" spans="1:10" ht="12.75" customHeight="1" x14ac:dyDescent="0.2">
      <c r="A65" s="1567" t="s">
        <v>327</v>
      </c>
      <c r="B65" s="1568" t="s">
        <v>11</v>
      </c>
      <c r="C65" s="1569">
        <v>0</v>
      </c>
      <c r="D65" s="1570">
        <v>13408.57</v>
      </c>
      <c r="E65" s="1570">
        <v>12677.973760000001</v>
      </c>
      <c r="F65" s="1571">
        <f t="shared" si="1"/>
        <v>0.94551273998644159</v>
      </c>
    </row>
    <row r="66" spans="1:10" ht="12.75" customHeight="1" x14ac:dyDescent="0.2">
      <c r="A66" s="1572" t="s">
        <v>328</v>
      </c>
      <c r="B66" s="1568" t="s">
        <v>11</v>
      </c>
      <c r="C66" s="1569">
        <v>0</v>
      </c>
      <c r="D66" s="1570">
        <v>1583.76</v>
      </c>
      <c r="E66" s="1570">
        <v>938.22284000000002</v>
      </c>
      <c r="F66" s="1571">
        <f t="shared" si="1"/>
        <v>0.59240215689245845</v>
      </c>
    </row>
    <row r="67" spans="1:10" ht="12.75" customHeight="1" x14ac:dyDescent="0.2">
      <c r="A67" s="1572" t="s">
        <v>698</v>
      </c>
      <c r="B67" s="1568" t="s">
        <v>11</v>
      </c>
      <c r="C67" s="1569">
        <v>0</v>
      </c>
      <c r="D67" s="1570">
        <v>920</v>
      </c>
      <c r="E67" s="1570">
        <v>762.44159999999999</v>
      </c>
      <c r="F67" s="1571">
        <f t="shared" si="1"/>
        <v>0.82874086956521742</v>
      </c>
    </row>
    <row r="68" spans="1:10" ht="12.75" customHeight="1" thickBot="1" x14ac:dyDescent="0.25">
      <c r="A68" s="1572" t="s">
        <v>699</v>
      </c>
      <c r="B68" s="1568" t="s">
        <v>11</v>
      </c>
      <c r="C68" s="1569">
        <v>0</v>
      </c>
      <c r="D68" s="1570">
        <v>168.45</v>
      </c>
      <c r="E68" s="1570">
        <v>23.1</v>
      </c>
      <c r="F68" s="1571">
        <f t="shared" si="1"/>
        <v>0.13713268032056991</v>
      </c>
    </row>
    <row r="69" spans="1:10" ht="12.75" customHeight="1" x14ac:dyDescent="0.2">
      <c r="A69" s="1573" t="s">
        <v>329</v>
      </c>
      <c r="B69" s="1574"/>
      <c r="C69" s="1564">
        <f>SUM(C70:C74)</f>
        <v>0</v>
      </c>
      <c r="D69" s="1565">
        <f>SUM(D70:D74)</f>
        <v>37075.199999999997</v>
      </c>
      <c r="E69" s="1565">
        <f>SUM(E70:E74)</f>
        <v>31442.077939999999</v>
      </c>
      <c r="F69" s="1566">
        <f t="shared" si="1"/>
        <v>0.84806226102623861</v>
      </c>
      <c r="I69"/>
      <c r="J69"/>
    </row>
    <row r="70" spans="1:10" ht="12.75" customHeight="1" x14ac:dyDescent="0.2">
      <c r="A70" s="1567" t="s">
        <v>330</v>
      </c>
      <c r="B70" s="1568" t="s">
        <v>16</v>
      </c>
      <c r="C70" s="1569">
        <v>0</v>
      </c>
      <c r="D70" s="1570">
        <v>28935.16</v>
      </c>
      <c r="E70" s="1570">
        <v>24514.708760000001</v>
      </c>
      <c r="F70" s="1571">
        <f t="shared" si="1"/>
        <v>0.84722907217378451</v>
      </c>
      <c r="I70" s="4"/>
      <c r="J70" s="4"/>
    </row>
    <row r="71" spans="1:10" ht="12.75" customHeight="1" x14ac:dyDescent="0.2">
      <c r="A71" s="1567" t="s">
        <v>331</v>
      </c>
      <c r="B71" s="1568" t="s">
        <v>16</v>
      </c>
      <c r="C71" s="1569">
        <v>0</v>
      </c>
      <c r="D71" s="1570">
        <v>3580.28</v>
      </c>
      <c r="E71" s="1570">
        <v>2983.0545999999999</v>
      </c>
      <c r="F71" s="1571">
        <f t="shared" si="1"/>
        <v>0.83319030913783276</v>
      </c>
    </row>
    <row r="72" spans="1:10" ht="12.75" customHeight="1" x14ac:dyDescent="0.2">
      <c r="A72" s="1567" t="s">
        <v>332</v>
      </c>
      <c r="B72" s="1568" t="s">
        <v>16</v>
      </c>
      <c r="C72" s="1569">
        <v>0</v>
      </c>
      <c r="D72" s="1575">
        <v>1960.39</v>
      </c>
      <c r="E72" s="1575">
        <v>1648.11033</v>
      </c>
      <c r="F72" s="1576">
        <f t="shared" si="1"/>
        <v>0.84070533414269599</v>
      </c>
      <c r="I72"/>
      <c r="J72"/>
    </row>
    <row r="73" spans="1:10" ht="12.75" customHeight="1" x14ac:dyDescent="0.2">
      <c r="A73" s="1577" t="s">
        <v>380</v>
      </c>
      <c r="B73" s="1578" t="s">
        <v>16</v>
      </c>
      <c r="C73" s="1569">
        <v>0</v>
      </c>
      <c r="D73" s="1575">
        <v>519.34</v>
      </c>
      <c r="E73" s="1575">
        <v>416.18624999999997</v>
      </c>
      <c r="F73" s="1576">
        <f t="shared" si="1"/>
        <v>0.80137530326953432</v>
      </c>
      <c r="I73" s="4"/>
      <c r="J73" s="4"/>
    </row>
    <row r="74" spans="1:10" ht="12.75" customHeight="1" thickBot="1" x14ac:dyDescent="0.25">
      <c r="A74" s="1579" t="s">
        <v>381</v>
      </c>
      <c r="B74" s="1580" t="s">
        <v>16</v>
      </c>
      <c r="C74" s="1581">
        <v>0</v>
      </c>
      <c r="D74" s="1582">
        <v>2080.0300000000002</v>
      </c>
      <c r="E74" s="1582">
        <v>1880.018</v>
      </c>
      <c r="F74" s="1583">
        <f t="shared" si="1"/>
        <v>0.90384177151291079</v>
      </c>
    </row>
    <row r="75" spans="1:10" ht="12.75" customHeight="1" x14ac:dyDescent="0.2">
      <c r="A75" s="1573" t="s">
        <v>1172</v>
      </c>
      <c r="B75" s="1584"/>
      <c r="C75" s="1564">
        <f>C76</f>
        <v>83113.63</v>
      </c>
      <c r="D75" s="1565">
        <f>D76</f>
        <v>0</v>
      </c>
      <c r="E75" s="1565">
        <f>E76</f>
        <v>0</v>
      </c>
      <c r="F75" s="1585" t="s">
        <v>75</v>
      </c>
      <c r="I75"/>
      <c r="J75"/>
    </row>
    <row r="76" spans="1:10" ht="12.75" customHeight="1" thickBot="1" x14ac:dyDescent="0.25">
      <c r="A76" s="1586" t="s">
        <v>1173</v>
      </c>
      <c r="B76" s="1587" t="s">
        <v>12</v>
      </c>
      <c r="C76" s="1588">
        <v>83113.63</v>
      </c>
      <c r="D76" s="1589">
        <v>0</v>
      </c>
      <c r="E76" s="1589">
        <v>0</v>
      </c>
      <c r="F76" s="1590" t="s">
        <v>75</v>
      </c>
      <c r="I76" s="4"/>
      <c r="J76" s="4"/>
    </row>
    <row r="77" spans="1:10" ht="12.75" customHeight="1" x14ac:dyDescent="0.2">
      <c r="A77" s="1562" t="s">
        <v>334</v>
      </c>
      <c r="B77" s="1563"/>
      <c r="C77" s="1564">
        <f>SUM(C78:C95)</f>
        <v>0</v>
      </c>
      <c r="D77" s="1565">
        <f>SUM(D78:D95)</f>
        <v>35056.32</v>
      </c>
      <c r="E77" s="1565">
        <f>SUM(E78:E95)</f>
        <v>30770.994000000002</v>
      </c>
      <c r="F77" s="1566">
        <f t="shared" si="1"/>
        <v>0.87775881781088272</v>
      </c>
    </row>
    <row r="78" spans="1:10" ht="12.75" customHeight="1" x14ac:dyDescent="0.2">
      <c r="A78" s="1577" t="s">
        <v>335</v>
      </c>
      <c r="B78" s="1578" t="s">
        <v>8</v>
      </c>
      <c r="C78" s="1591">
        <v>0</v>
      </c>
      <c r="D78" s="1575">
        <v>3059.08</v>
      </c>
      <c r="E78" s="1575">
        <v>2724.7719999999999</v>
      </c>
      <c r="F78" s="1576">
        <f t="shared" si="1"/>
        <v>0.89071616302940748</v>
      </c>
      <c r="I78" s="4"/>
      <c r="J78" s="4"/>
    </row>
    <row r="79" spans="1:10" ht="12.75" customHeight="1" x14ac:dyDescent="0.2">
      <c r="A79" s="1577" t="s">
        <v>336</v>
      </c>
      <c r="B79" s="1578" t="s">
        <v>8</v>
      </c>
      <c r="C79" s="1591">
        <v>0</v>
      </c>
      <c r="D79" s="1575">
        <v>0</v>
      </c>
      <c r="E79" s="1575">
        <v>0</v>
      </c>
      <c r="F79" s="1546" t="s">
        <v>75</v>
      </c>
      <c r="I79" s="4"/>
      <c r="J79" s="4"/>
    </row>
    <row r="80" spans="1:10" ht="12.75" customHeight="1" x14ac:dyDescent="0.2">
      <c r="A80" s="1577" t="s">
        <v>337</v>
      </c>
      <c r="B80" s="1578" t="s">
        <v>8</v>
      </c>
      <c r="C80" s="1591">
        <v>0</v>
      </c>
      <c r="D80" s="1575">
        <v>378.55</v>
      </c>
      <c r="E80" s="1575">
        <v>375.19</v>
      </c>
      <c r="F80" s="1546" t="s">
        <v>75</v>
      </c>
      <c r="I80" s="4"/>
      <c r="J80" s="4"/>
    </row>
    <row r="81" spans="1:10" ht="12.75" customHeight="1" x14ac:dyDescent="0.2">
      <c r="A81" s="1577" t="s">
        <v>451</v>
      </c>
      <c r="B81" s="1578" t="s">
        <v>8</v>
      </c>
      <c r="C81" s="1591">
        <v>0</v>
      </c>
      <c r="D81" s="1575">
        <v>0</v>
      </c>
      <c r="E81" s="1575">
        <v>0</v>
      </c>
      <c r="F81" s="1546" t="s">
        <v>75</v>
      </c>
      <c r="I81" s="4"/>
      <c r="J81" s="4"/>
    </row>
    <row r="82" spans="1:10" ht="12.75" customHeight="1" x14ac:dyDescent="0.2">
      <c r="A82" s="1577" t="s">
        <v>338</v>
      </c>
      <c r="B82" s="1578" t="s">
        <v>8</v>
      </c>
      <c r="C82" s="1591">
        <v>0</v>
      </c>
      <c r="D82" s="1575">
        <v>0</v>
      </c>
      <c r="E82" s="1575">
        <v>0</v>
      </c>
      <c r="F82" s="1546" t="s">
        <v>75</v>
      </c>
      <c r="I82" s="4"/>
      <c r="J82" s="4"/>
    </row>
    <row r="83" spans="1:10" ht="12.75" customHeight="1" x14ac:dyDescent="0.2">
      <c r="A83" s="1577" t="s">
        <v>339</v>
      </c>
      <c r="B83" s="1578" t="s">
        <v>8</v>
      </c>
      <c r="C83" s="1591">
        <v>0</v>
      </c>
      <c r="D83" s="1575">
        <v>0</v>
      </c>
      <c r="E83" s="1575">
        <v>0</v>
      </c>
      <c r="F83" s="1546" t="s">
        <v>75</v>
      </c>
      <c r="I83" s="4"/>
      <c r="J83" s="4"/>
    </row>
    <row r="84" spans="1:10" ht="24" customHeight="1" x14ac:dyDescent="0.2">
      <c r="A84" s="1592" t="s">
        <v>452</v>
      </c>
      <c r="B84" s="1578" t="s">
        <v>8</v>
      </c>
      <c r="C84" s="1591">
        <v>0</v>
      </c>
      <c r="D84" s="1575">
        <v>291.39999999999998</v>
      </c>
      <c r="E84" s="1575">
        <v>291.40199999999999</v>
      </c>
      <c r="F84" s="1576">
        <f t="shared" ref="F84:F91" si="2">E84/D84</f>
        <v>1.0000068634179822</v>
      </c>
      <c r="I84" s="4"/>
      <c r="J84" s="4"/>
    </row>
    <row r="85" spans="1:10" ht="12.75" customHeight="1" x14ac:dyDescent="0.2">
      <c r="A85" s="1593" t="s">
        <v>453</v>
      </c>
      <c r="B85" s="1594" t="s">
        <v>8</v>
      </c>
      <c r="C85" s="1595">
        <v>0</v>
      </c>
      <c r="D85" s="1596">
        <v>34.4</v>
      </c>
      <c r="E85" s="1596">
        <v>0</v>
      </c>
      <c r="F85" s="1597">
        <f t="shared" si="2"/>
        <v>0</v>
      </c>
      <c r="I85" s="4"/>
      <c r="J85" s="4"/>
    </row>
    <row r="86" spans="1:10" ht="12.75" customHeight="1" x14ac:dyDescent="0.2">
      <c r="A86" s="1567" t="s">
        <v>414</v>
      </c>
      <c r="B86" s="1598" t="s">
        <v>8</v>
      </c>
      <c r="C86" s="1591">
        <v>0</v>
      </c>
      <c r="D86" s="1575">
        <v>100.42</v>
      </c>
      <c r="E86" s="1575">
        <v>0</v>
      </c>
      <c r="F86" s="1576">
        <f t="shared" si="2"/>
        <v>0</v>
      </c>
      <c r="I86" s="4"/>
      <c r="J86" s="4"/>
    </row>
    <row r="87" spans="1:10" ht="12.75" customHeight="1" x14ac:dyDescent="0.2">
      <c r="A87" s="1593" t="s">
        <v>333</v>
      </c>
      <c r="B87" s="1594" t="s">
        <v>8</v>
      </c>
      <c r="C87" s="1595">
        <v>0</v>
      </c>
      <c r="D87" s="1596">
        <v>12</v>
      </c>
      <c r="E87" s="1596">
        <v>0</v>
      </c>
      <c r="F87" s="1597">
        <f t="shared" si="2"/>
        <v>0</v>
      </c>
      <c r="I87" s="4"/>
      <c r="J87" s="4"/>
    </row>
    <row r="88" spans="1:10" ht="12.75" customHeight="1" x14ac:dyDescent="0.2">
      <c r="A88" s="1567" t="s">
        <v>415</v>
      </c>
      <c r="B88" s="1598" t="s">
        <v>8</v>
      </c>
      <c r="C88" s="1591">
        <v>0</v>
      </c>
      <c r="D88" s="1575">
        <v>0</v>
      </c>
      <c r="E88" s="1575">
        <v>0</v>
      </c>
      <c r="F88" s="1546" t="s">
        <v>75</v>
      </c>
      <c r="I88" s="4"/>
      <c r="J88" s="4"/>
    </row>
    <row r="89" spans="1:10" ht="12.75" customHeight="1" x14ac:dyDescent="0.2">
      <c r="A89" s="1593" t="s">
        <v>454</v>
      </c>
      <c r="B89" s="1594" t="s">
        <v>8</v>
      </c>
      <c r="C89" s="1595">
        <v>0</v>
      </c>
      <c r="D89" s="1596">
        <v>8</v>
      </c>
      <c r="E89" s="1596">
        <v>0</v>
      </c>
      <c r="F89" s="1597">
        <f t="shared" si="2"/>
        <v>0</v>
      </c>
      <c r="I89" s="4"/>
      <c r="J89" s="4"/>
    </row>
    <row r="90" spans="1:10" ht="12.75" customHeight="1" x14ac:dyDescent="0.2">
      <c r="A90" s="1567" t="s">
        <v>416</v>
      </c>
      <c r="B90" s="1598" t="s">
        <v>8</v>
      </c>
      <c r="C90" s="1591">
        <v>0</v>
      </c>
      <c r="D90" s="1575">
        <v>0</v>
      </c>
      <c r="E90" s="1575">
        <v>0</v>
      </c>
      <c r="F90" s="1546" t="s">
        <v>75</v>
      </c>
      <c r="H90" s="1529"/>
      <c r="I90" s="4"/>
      <c r="J90" s="4"/>
    </row>
    <row r="91" spans="1:10" ht="12.75" customHeight="1" x14ac:dyDescent="0.2">
      <c r="A91" s="1593" t="s">
        <v>455</v>
      </c>
      <c r="B91" s="1594" t="s">
        <v>8</v>
      </c>
      <c r="C91" s="1595">
        <v>0</v>
      </c>
      <c r="D91" s="1596">
        <v>11</v>
      </c>
      <c r="E91" s="1596">
        <v>0</v>
      </c>
      <c r="F91" s="1597">
        <f t="shared" si="2"/>
        <v>0</v>
      </c>
      <c r="I91" s="4"/>
      <c r="J91" s="4"/>
    </row>
    <row r="92" spans="1:10" ht="12.75" customHeight="1" x14ac:dyDescent="0.2">
      <c r="A92" s="1567" t="s">
        <v>417</v>
      </c>
      <c r="B92" s="1598" t="s">
        <v>8</v>
      </c>
      <c r="C92" s="1591">
        <v>0</v>
      </c>
      <c r="D92" s="1575">
        <v>0</v>
      </c>
      <c r="E92" s="1575">
        <v>0</v>
      </c>
      <c r="F92" s="1546" t="s">
        <v>75</v>
      </c>
    </row>
    <row r="93" spans="1:10" ht="12.75" customHeight="1" x14ac:dyDescent="0.2">
      <c r="A93" s="1567" t="s">
        <v>418</v>
      </c>
      <c r="B93" s="1598" t="s">
        <v>8</v>
      </c>
      <c r="C93" s="1591">
        <v>0</v>
      </c>
      <c r="D93" s="1575">
        <v>0</v>
      </c>
      <c r="E93" s="1575">
        <v>0</v>
      </c>
      <c r="F93" s="1546" t="s">
        <v>75</v>
      </c>
    </row>
    <row r="94" spans="1:10" ht="12.75" customHeight="1" x14ac:dyDescent="0.2">
      <c r="A94" s="1567" t="s">
        <v>419</v>
      </c>
      <c r="B94" s="1598" t="s">
        <v>8</v>
      </c>
      <c r="C94" s="1591">
        <v>0</v>
      </c>
      <c r="D94" s="1575">
        <v>0</v>
      </c>
      <c r="E94" s="1575">
        <v>0</v>
      </c>
      <c r="F94" s="1546" t="s">
        <v>75</v>
      </c>
    </row>
    <row r="95" spans="1:10" ht="24" customHeight="1" thickBot="1" x14ac:dyDescent="0.25">
      <c r="A95" s="1592" t="s">
        <v>420</v>
      </c>
      <c r="B95" s="1578" t="s">
        <v>8</v>
      </c>
      <c r="C95" s="1591">
        <v>0</v>
      </c>
      <c r="D95" s="1575">
        <v>31161.47</v>
      </c>
      <c r="E95" s="1575">
        <v>27379.63</v>
      </c>
      <c r="F95" s="1576">
        <f>E95/D95</f>
        <v>0.87863730433769649</v>
      </c>
    </row>
    <row r="96" spans="1:10" ht="12.75" customHeight="1" x14ac:dyDescent="0.2">
      <c r="A96" s="1562" t="s">
        <v>700</v>
      </c>
      <c r="B96" s="1563"/>
      <c r="C96" s="1599">
        <f>SUM(C97:C98)</f>
        <v>0</v>
      </c>
      <c r="D96" s="1600">
        <f>SUM(D97:D98)</f>
        <v>1072.77</v>
      </c>
      <c r="E96" s="1565">
        <f>SUM(E97:E98)</f>
        <v>979.31500000000005</v>
      </c>
      <c r="F96" s="1566">
        <f>E96/D96</f>
        <v>0.91288440206195187</v>
      </c>
    </row>
    <row r="97" spans="1:10" ht="12.75" customHeight="1" x14ac:dyDescent="0.2">
      <c r="A97" s="1567" t="s">
        <v>753</v>
      </c>
      <c r="B97" s="1568" t="s">
        <v>10</v>
      </c>
      <c r="C97" s="1569">
        <v>0</v>
      </c>
      <c r="D97" s="1570">
        <v>1072.77</v>
      </c>
      <c r="E97" s="1570">
        <v>979.31500000000005</v>
      </c>
      <c r="F97" s="1571">
        <f>E97/D97</f>
        <v>0.91288440206195187</v>
      </c>
    </row>
    <row r="98" spans="1:10" ht="12.75" customHeight="1" thickBot="1" x14ac:dyDescent="0.25">
      <c r="A98" s="1601" t="s">
        <v>701</v>
      </c>
      <c r="B98" s="1578" t="s">
        <v>10</v>
      </c>
      <c r="C98" s="1602">
        <v>0</v>
      </c>
      <c r="D98" s="1575">
        <v>0</v>
      </c>
      <c r="E98" s="1575">
        <v>0</v>
      </c>
      <c r="F98" s="1546" t="s">
        <v>75</v>
      </c>
    </row>
    <row r="99" spans="1:10" ht="12.75" customHeight="1" x14ac:dyDescent="0.2">
      <c r="A99" s="1562" t="s">
        <v>340</v>
      </c>
      <c r="B99" s="1563"/>
      <c r="C99" s="1599">
        <f>SUM(C100:C103)</f>
        <v>0</v>
      </c>
      <c r="D99" s="1600">
        <f>SUM(D100:D103)</f>
        <v>24895.03</v>
      </c>
      <c r="E99" s="1565">
        <f>SUM(E100:E103)</f>
        <v>6005.0475700000006</v>
      </c>
      <c r="F99" s="1566">
        <f>E99/D99</f>
        <v>0.24121471514595488</v>
      </c>
    </row>
    <row r="100" spans="1:10" ht="12.75" customHeight="1" x14ac:dyDescent="0.2">
      <c r="A100" s="1567" t="s">
        <v>341</v>
      </c>
      <c r="B100" s="1568" t="s">
        <v>15</v>
      </c>
      <c r="C100" s="1569">
        <v>0</v>
      </c>
      <c r="D100" s="1570">
        <v>14731.98</v>
      </c>
      <c r="E100" s="1570">
        <v>5067.8680000000004</v>
      </c>
      <c r="F100" s="1571">
        <f>E100/D100</f>
        <v>0.34400453978351864</v>
      </c>
      <c r="I100" s="4"/>
      <c r="J100" s="4"/>
    </row>
    <row r="101" spans="1:10" ht="24" customHeight="1" x14ac:dyDescent="0.2">
      <c r="A101" s="1601" t="s">
        <v>342</v>
      </c>
      <c r="B101" s="1578" t="s">
        <v>15</v>
      </c>
      <c r="C101" s="1602">
        <v>0</v>
      </c>
      <c r="D101" s="1575">
        <v>0</v>
      </c>
      <c r="E101" s="1575">
        <v>0</v>
      </c>
      <c r="F101" s="1546" t="s">
        <v>75</v>
      </c>
      <c r="I101" s="1529"/>
      <c r="J101" s="1529"/>
    </row>
    <row r="102" spans="1:10" ht="12.75" customHeight="1" x14ac:dyDescent="0.2">
      <c r="A102" s="1567" t="s">
        <v>343</v>
      </c>
      <c r="B102" s="1568" t="s">
        <v>15</v>
      </c>
      <c r="C102" s="1569">
        <v>0</v>
      </c>
      <c r="D102" s="1570">
        <v>10163.049999999999</v>
      </c>
      <c r="E102" s="1570">
        <v>937.17957000000001</v>
      </c>
      <c r="F102" s="1571">
        <f>E102/D102</f>
        <v>9.2214401188619566E-2</v>
      </c>
      <c r="I102" s="1529"/>
      <c r="J102" s="1529"/>
    </row>
    <row r="103" spans="1:10" ht="12.75" customHeight="1" thickBot="1" x14ac:dyDescent="0.25">
      <c r="A103" s="1579" t="s">
        <v>344</v>
      </c>
      <c r="B103" s="1580" t="s">
        <v>15</v>
      </c>
      <c r="C103" s="1602">
        <v>0</v>
      </c>
      <c r="D103" s="1575">
        <v>0</v>
      </c>
      <c r="E103" s="1575">
        <v>0</v>
      </c>
      <c r="F103" s="1546" t="s">
        <v>75</v>
      </c>
      <c r="I103" s="1529"/>
      <c r="J103" s="1529"/>
    </row>
    <row r="104" spans="1:10" ht="12.75" customHeight="1" x14ac:dyDescent="0.2">
      <c r="A104" s="1573" t="s">
        <v>345</v>
      </c>
      <c r="B104" s="1574"/>
      <c r="C104" s="1599">
        <f>SUM(C105:C113)</f>
        <v>0</v>
      </c>
      <c r="D104" s="1600">
        <f>SUM(D105:D114)</f>
        <v>19166.489999999998</v>
      </c>
      <c r="E104" s="1600">
        <f>SUM(E105:E114)</f>
        <v>10615.422789999999</v>
      </c>
      <c r="F104" s="1566">
        <f t="shared" ref="F104:F114" si="3">E104/D104</f>
        <v>0.5538532506473538</v>
      </c>
      <c r="I104" s="1529"/>
      <c r="J104" s="1529"/>
    </row>
    <row r="105" spans="1:10" ht="12.75" customHeight="1" x14ac:dyDescent="0.2">
      <c r="A105" s="1567" t="s">
        <v>346</v>
      </c>
      <c r="B105" s="1568" t="s">
        <v>13</v>
      </c>
      <c r="C105" s="1569">
        <v>0</v>
      </c>
      <c r="D105" s="1570">
        <v>1584.26</v>
      </c>
      <c r="E105" s="1570">
        <v>713.65877</v>
      </c>
      <c r="F105" s="1571">
        <f t="shared" si="3"/>
        <v>0.45046821228838702</v>
      </c>
      <c r="I105" s="4"/>
      <c r="J105" s="4"/>
    </row>
    <row r="106" spans="1:10" ht="12.75" customHeight="1" x14ac:dyDescent="0.2">
      <c r="A106" s="1567" t="s">
        <v>347</v>
      </c>
      <c r="B106" s="1568" t="s">
        <v>13</v>
      </c>
      <c r="C106" s="1569">
        <v>0</v>
      </c>
      <c r="D106" s="1570">
        <v>11716.68</v>
      </c>
      <c r="E106" s="1570">
        <v>8340.3545799999993</v>
      </c>
      <c r="F106" s="1571">
        <f t="shared" si="3"/>
        <v>0.71183599620370264</v>
      </c>
      <c r="I106" s="4"/>
      <c r="J106" s="4"/>
    </row>
    <row r="107" spans="1:10" ht="12.75" customHeight="1" x14ac:dyDescent="0.2">
      <c r="A107" s="1567" t="s">
        <v>348</v>
      </c>
      <c r="B107" s="1568" t="s">
        <v>13</v>
      </c>
      <c r="C107" s="1569">
        <v>0</v>
      </c>
      <c r="D107" s="1570">
        <v>48.3</v>
      </c>
      <c r="E107" s="1570">
        <v>0</v>
      </c>
      <c r="F107" s="1571">
        <f t="shared" si="3"/>
        <v>0</v>
      </c>
      <c r="I107" s="4"/>
      <c r="J107" s="4"/>
    </row>
    <row r="108" spans="1:10" ht="12.75" customHeight="1" x14ac:dyDescent="0.2">
      <c r="A108" s="1567" t="s">
        <v>349</v>
      </c>
      <c r="B108" s="1568" t="s">
        <v>13</v>
      </c>
      <c r="C108" s="1569">
        <v>0</v>
      </c>
      <c r="D108" s="1570">
        <v>0</v>
      </c>
      <c r="E108" s="1570">
        <v>0</v>
      </c>
      <c r="F108" s="1603" t="s">
        <v>75</v>
      </c>
      <c r="I108" s="4"/>
      <c r="J108" s="4"/>
    </row>
    <row r="109" spans="1:10" ht="12.75" customHeight="1" x14ac:dyDescent="0.2">
      <c r="A109" s="1567" t="s">
        <v>456</v>
      </c>
      <c r="B109" s="1568" t="s">
        <v>13</v>
      </c>
      <c r="C109" s="1569">
        <v>0</v>
      </c>
      <c r="D109" s="1570">
        <v>0</v>
      </c>
      <c r="E109" s="1570">
        <v>0</v>
      </c>
      <c r="F109" s="1603" t="s">
        <v>75</v>
      </c>
      <c r="I109" s="4"/>
      <c r="J109" s="4"/>
    </row>
    <row r="110" spans="1:10" ht="12.75" customHeight="1" x14ac:dyDescent="0.2">
      <c r="A110" s="1567" t="s">
        <v>663</v>
      </c>
      <c r="B110" s="1568" t="s">
        <v>13</v>
      </c>
      <c r="C110" s="1569">
        <v>0</v>
      </c>
      <c r="D110" s="1570">
        <v>1413.26</v>
      </c>
      <c r="E110" s="1570">
        <v>747.22400000000005</v>
      </c>
      <c r="F110" s="1571">
        <f t="shared" si="3"/>
        <v>0.52872366018991557</v>
      </c>
      <c r="I110" s="4"/>
      <c r="J110" s="4"/>
    </row>
    <row r="111" spans="1:10" ht="12.75" customHeight="1" x14ac:dyDescent="0.2">
      <c r="A111" s="1577" t="s">
        <v>774</v>
      </c>
      <c r="B111" s="1568" t="s">
        <v>13</v>
      </c>
      <c r="C111" s="1602">
        <v>0</v>
      </c>
      <c r="D111" s="1575">
        <v>295.47000000000003</v>
      </c>
      <c r="E111" s="1575">
        <v>295.47300000000001</v>
      </c>
      <c r="F111" s="1576">
        <f t="shared" si="3"/>
        <v>1.0000101533150574</v>
      </c>
      <c r="I111" s="4"/>
      <c r="J111" s="4"/>
    </row>
    <row r="112" spans="1:10" ht="12.75" customHeight="1" x14ac:dyDescent="0.2">
      <c r="A112" s="1567" t="s">
        <v>775</v>
      </c>
      <c r="B112" s="1568" t="s">
        <v>13</v>
      </c>
      <c r="C112" s="1569">
        <v>0</v>
      </c>
      <c r="D112" s="1570">
        <v>0</v>
      </c>
      <c r="E112" s="1570">
        <v>0</v>
      </c>
      <c r="F112" s="1603" t="s">
        <v>75</v>
      </c>
    </row>
    <row r="113" spans="1:10" ht="12.75" customHeight="1" x14ac:dyDescent="0.2">
      <c r="A113" s="1604" t="s">
        <v>776</v>
      </c>
      <c r="B113" s="1605" t="s">
        <v>13</v>
      </c>
      <c r="C113" s="1581">
        <v>0</v>
      </c>
      <c r="D113" s="1606">
        <v>604.5</v>
      </c>
      <c r="E113" s="1606">
        <v>518.71244000000002</v>
      </c>
      <c r="F113" s="1607">
        <f t="shared" si="3"/>
        <v>0.85808509511993381</v>
      </c>
    </row>
    <row r="114" spans="1:10" ht="12.75" customHeight="1" thickBot="1" x14ac:dyDescent="0.25">
      <c r="A114" s="1608" t="s">
        <v>1174</v>
      </c>
      <c r="B114" s="1609" t="s">
        <v>13</v>
      </c>
      <c r="C114" s="1610">
        <v>0</v>
      </c>
      <c r="D114" s="1611">
        <v>3504.02</v>
      </c>
      <c r="E114" s="1611">
        <v>0</v>
      </c>
      <c r="F114" s="1612">
        <f t="shared" si="3"/>
        <v>0</v>
      </c>
    </row>
    <row r="115" spans="1:10" ht="12.75" customHeight="1" x14ac:dyDescent="0.2">
      <c r="A115" s="1558"/>
      <c r="B115" s="1558"/>
      <c r="C115" s="1558"/>
      <c r="D115" s="1558"/>
      <c r="E115" s="2017" t="s">
        <v>806</v>
      </c>
      <c r="F115" s="2017"/>
    </row>
    <row r="116" spans="1:10" ht="18.75" customHeight="1" x14ac:dyDescent="0.2">
      <c r="A116" s="2032" t="s">
        <v>324</v>
      </c>
      <c r="B116" s="2032"/>
      <c r="C116" s="2032"/>
      <c r="D116" s="2032"/>
      <c r="E116" s="2032"/>
      <c r="F116" s="2032"/>
    </row>
    <row r="117" spans="1:10" ht="11.25" customHeight="1" x14ac:dyDescent="0.2">
      <c r="A117" s="1558"/>
      <c r="B117" s="1558"/>
      <c r="C117" s="1558"/>
      <c r="D117" s="1558"/>
      <c r="E117" s="1558"/>
      <c r="F117" s="1558"/>
    </row>
    <row r="118" spans="1:10" ht="15.75" customHeight="1" x14ac:dyDescent="0.2">
      <c r="A118" s="2033" t="s">
        <v>1153</v>
      </c>
      <c r="B118" s="2033"/>
      <c r="C118" s="2033"/>
      <c r="D118" s="2033"/>
      <c r="E118" s="2033"/>
      <c r="F118" s="2033"/>
    </row>
    <row r="119" spans="1:10" ht="12" customHeight="1" thickBot="1" x14ac:dyDescent="0.25">
      <c r="A119" s="1558"/>
      <c r="B119" s="1558"/>
      <c r="C119" s="1558"/>
      <c r="D119" s="1558"/>
      <c r="E119" s="1558"/>
      <c r="F119" s="1521" t="s">
        <v>70</v>
      </c>
    </row>
    <row r="120" spans="1:10" ht="12.75" customHeight="1" thickBot="1" x14ac:dyDescent="0.25">
      <c r="A120" s="1613" t="s">
        <v>325</v>
      </c>
      <c r="B120" s="1522" t="s">
        <v>27</v>
      </c>
      <c r="C120" s="1561" t="s">
        <v>1038</v>
      </c>
      <c r="D120" s="1523" t="s">
        <v>987</v>
      </c>
      <c r="E120" s="1523" t="s">
        <v>72</v>
      </c>
      <c r="F120" s="1524" t="s">
        <v>73</v>
      </c>
    </row>
    <row r="121" spans="1:10" ht="12.75" customHeight="1" x14ac:dyDescent="0.2">
      <c r="A121" s="1614" t="s">
        <v>350</v>
      </c>
      <c r="B121" s="1615"/>
      <c r="C121" s="1616">
        <f>SUM(C122:C127)</f>
        <v>0</v>
      </c>
      <c r="D121" s="1617">
        <f>SUM(D122:D127)</f>
        <v>29878.33</v>
      </c>
      <c r="E121" s="1617">
        <f>SUM(E122:E127)</f>
        <v>12914.142589999999</v>
      </c>
      <c r="F121" s="1618">
        <f>E121/D121</f>
        <v>0.43222437766769423</v>
      </c>
      <c r="H121" s="1619"/>
      <c r="I121" s="4"/>
      <c r="J121" s="4"/>
    </row>
    <row r="122" spans="1:10" ht="12.75" customHeight="1" x14ac:dyDescent="0.2">
      <c r="A122" s="1577" t="s">
        <v>351</v>
      </c>
      <c r="B122" s="1578" t="s">
        <v>9</v>
      </c>
      <c r="C122" s="1602">
        <v>0</v>
      </c>
      <c r="D122" s="1575">
        <v>2990.54</v>
      </c>
      <c r="E122" s="1575">
        <v>941.03294000000005</v>
      </c>
      <c r="F122" s="1576">
        <f>E122/D122</f>
        <v>0.31466990576952658</v>
      </c>
      <c r="I122" s="4"/>
      <c r="J122" s="4"/>
    </row>
    <row r="123" spans="1:10" ht="12.75" customHeight="1" x14ac:dyDescent="0.2">
      <c r="A123" s="1567" t="s">
        <v>352</v>
      </c>
      <c r="B123" s="1568" t="s">
        <v>9</v>
      </c>
      <c r="C123" s="1569">
        <v>0</v>
      </c>
      <c r="D123" s="1570">
        <v>3412.72</v>
      </c>
      <c r="E123" s="1570">
        <v>2117.5769</v>
      </c>
      <c r="F123" s="1571">
        <f>E123/D123</f>
        <v>0.62049535268055989</v>
      </c>
      <c r="I123" s="4"/>
      <c r="J123" s="4"/>
    </row>
    <row r="124" spans="1:10" ht="12.75" customHeight="1" x14ac:dyDescent="0.2">
      <c r="A124" s="1567" t="s">
        <v>353</v>
      </c>
      <c r="B124" s="1568" t="s">
        <v>9</v>
      </c>
      <c r="C124" s="1569">
        <v>0</v>
      </c>
      <c r="D124" s="1570">
        <v>721.69</v>
      </c>
      <c r="E124" s="1570">
        <v>678.63300000000004</v>
      </c>
      <c r="F124" s="1571">
        <f>E124/D124</f>
        <v>0.94033864955867474</v>
      </c>
      <c r="I124" s="4"/>
      <c r="J124" s="4"/>
    </row>
    <row r="125" spans="1:10" ht="24.75" customHeight="1" x14ac:dyDescent="0.2">
      <c r="A125" s="1620" t="s">
        <v>664</v>
      </c>
      <c r="B125" s="1568" t="s">
        <v>9</v>
      </c>
      <c r="C125" s="1569">
        <v>0</v>
      </c>
      <c r="D125" s="1570">
        <v>55.24</v>
      </c>
      <c r="E125" s="1570">
        <v>12.194940000000001</v>
      </c>
      <c r="F125" s="1571">
        <f t="shared" ref="F125:F131" si="4">E125/D125</f>
        <v>0.22076285300506879</v>
      </c>
      <c r="I125" s="4"/>
      <c r="J125" s="4"/>
    </row>
    <row r="126" spans="1:10" ht="12.75" customHeight="1" x14ac:dyDescent="0.2">
      <c r="A126" s="1567" t="s">
        <v>665</v>
      </c>
      <c r="B126" s="1568" t="s">
        <v>9</v>
      </c>
      <c r="C126" s="1569">
        <v>0</v>
      </c>
      <c r="D126" s="1570">
        <v>1713.81</v>
      </c>
      <c r="E126" s="1570">
        <v>608.1585</v>
      </c>
      <c r="F126" s="1571">
        <v>19.5442</v>
      </c>
      <c r="I126" s="4"/>
      <c r="J126" s="4"/>
    </row>
    <row r="127" spans="1:10" ht="12.75" customHeight="1" thickBot="1" x14ac:dyDescent="0.25">
      <c r="A127" s="1577" t="s">
        <v>754</v>
      </c>
      <c r="B127" s="1578" t="s">
        <v>9</v>
      </c>
      <c r="C127" s="1602">
        <v>0</v>
      </c>
      <c r="D127" s="1575">
        <v>20984.33</v>
      </c>
      <c r="E127" s="1575">
        <v>8556.5463099999997</v>
      </c>
      <c r="F127" s="1571">
        <f>E127/D127</f>
        <v>0.40775885196239287</v>
      </c>
    </row>
    <row r="128" spans="1:10" ht="12.75" customHeight="1" x14ac:dyDescent="0.2">
      <c r="A128" s="1621" t="s">
        <v>421</v>
      </c>
      <c r="B128" s="1574"/>
      <c r="C128" s="1564">
        <f>SUM(C129:C131)</f>
        <v>0</v>
      </c>
      <c r="D128" s="1565">
        <f>SUM(D129:D131)</f>
        <v>2514.7200000000003</v>
      </c>
      <c r="E128" s="1565">
        <f>SUM(E129:E131)</f>
        <v>1330.7170000000001</v>
      </c>
      <c r="F128" s="1566">
        <f t="shared" si="4"/>
        <v>0.52917104091111533</v>
      </c>
      <c r="H128" s="1622"/>
      <c r="I128" s="1622"/>
      <c r="J128" s="1622"/>
    </row>
    <row r="129" spans="1:6" ht="12.75" customHeight="1" x14ac:dyDescent="0.2">
      <c r="A129" s="1567" t="s">
        <v>457</v>
      </c>
      <c r="B129" s="1568" t="s">
        <v>17</v>
      </c>
      <c r="C129" s="1569">
        <v>0</v>
      </c>
      <c r="D129" s="1570">
        <v>1083.0899999999999</v>
      </c>
      <c r="E129" s="1570">
        <v>870.71699999999998</v>
      </c>
      <c r="F129" s="1571">
        <f t="shared" si="4"/>
        <v>0.80391934188294611</v>
      </c>
    </row>
    <row r="130" spans="1:6" ht="12.75" customHeight="1" x14ac:dyDescent="0.2">
      <c r="A130" s="1567" t="s">
        <v>458</v>
      </c>
      <c r="B130" s="1568" t="s">
        <v>17</v>
      </c>
      <c r="C130" s="1569">
        <v>0</v>
      </c>
      <c r="D130" s="1570">
        <v>1031.6300000000001</v>
      </c>
      <c r="E130" s="1570">
        <v>460</v>
      </c>
      <c r="F130" s="1571">
        <f t="shared" si="4"/>
        <v>0.44589630003004949</v>
      </c>
    </row>
    <row r="131" spans="1:6" ht="12.75" customHeight="1" thickBot="1" x14ac:dyDescent="0.25">
      <c r="A131" s="1567" t="s">
        <v>459</v>
      </c>
      <c r="B131" s="1568" t="s">
        <v>17</v>
      </c>
      <c r="C131" s="1569">
        <v>0</v>
      </c>
      <c r="D131" s="1575">
        <v>400</v>
      </c>
      <c r="E131" s="1575">
        <v>0</v>
      </c>
      <c r="F131" s="1576">
        <f t="shared" si="4"/>
        <v>0</v>
      </c>
    </row>
    <row r="132" spans="1:6" ht="12.75" customHeight="1" thickBot="1" x14ac:dyDescent="0.25">
      <c r="A132" s="1623" t="s">
        <v>1152</v>
      </c>
      <c r="B132" s="1624"/>
      <c r="C132" s="1625">
        <f>C64+C69+C77+C99+C104+C121+C128+C96+C75</f>
        <v>83113.63</v>
      </c>
      <c r="D132" s="1626">
        <f>D64+D69+D77+D99+D104+D121+D128+D96+D75</f>
        <v>165739.63999999996</v>
      </c>
      <c r="E132" s="1627">
        <f>E64+E69+E77+E99+E104+E121+E128+E96+E75</f>
        <v>108459.45509</v>
      </c>
      <c r="F132" s="1628">
        <f>E132/D132</f>
        <v>0.65439658907187215</v>
      </c>
    </row>
    <row r="133" spans="1:6" ht="12.75" customHeight="1" x14ac:dyDescent="0.2">
      <c r="A133" s="1558"/>
      <c r="B133" s="1558"/>
      <c r="C133" s="1558"/>
      <c r="D133" s="1558"/>
      <c r="E133" s="1558"/>
      <c r="F133" s="1558"/>
    </row>
    <row r="134" spans="1:6" ht="12.75" customHeight="1" x14ac:dyDescent="0.2">
      <c r="A134" s="1558"/>
      <c r="B134" s="1558"/>
      <c r="C134" s="1558"/>
      <c r="D134" s="1558"/>
      <c r="E134" s="1558"/>
    </row>
    <row r="135" spans="1:6" ht="12.75" customHeight="1" x14ac:dyDescent="0.2">
      <c r="A135" s="1558"/>
      <c r="B135" s="1558"/>
      <c r="C135" s="1629"/>
      <c r="D135" s="1629"/>
      <c r="E135" s="1629"/>
      <c r="F135" s="1558"/>
    </row>
    <row r="136" spans="1:6" ht="12.75" customHeight="1" x14ac:dyDescent="0.2">
      <c r="A136" s="1558"/>
      <c r="B136" s="1558"/>
      <c r="C136" s="1558"/>
      <c r="D136" s="1558"/>
      <c r="E136" s="1558"/>
      <c r="F136" s="1558"/>
    </row>
  </sheetData>
  <mergeCells count="33">
    <mergeCell ref="E115:F115"/>
    <mergeCell ref="A116:F116"/>
    <mergeCell ref="A118:F118"/>
    <mergeCell ref="A38:E38"/>
    <mergeCell ref="A39:E39"/>
    <mergeCell ref="A40:E40"/>
    <mergeCell ref="E58:F58"/>
    <mergeCell ref="A59:F59"/>
    <mergeCell ref="A61:F61"/>
    <mergeCell ref="B36:C36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2:F32"/>
    <mergeCell ref="B35:C35"/>
    <mergeCell ref="B20:C20"/>
    <mergeCell ref="E1:F1"/>
    <mergeCell ref="A3:F3"/>
    <mergeCell ref="A5:F5"/>
    <mergeCell ref="B8:C8"/>
    <mergeCell ref="B9:C9"/>
    <mergeCell ref="B10:C10"/>
    <mergeCell ref="B11:C11"/>
    <mergeCell ref="B12:C12"/>
    <mergeCell ref="B13:C13"/>
    <mergeCell ref="A16:F16"/>
    <mergeCell ref="B19:C19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AB49-DD14-4738-B22C-D1436BA1BC17}">
  <sheetPr>
    <tabColor theme="0" tint="-0.14999847407452621"/>
  </sheetPr>
  <dimension ref="A1:J45"/>
  <sheetViews>
    <sheetView workbookViewId="0">
      <selection activeCell="A43" sqref="A43"/>
    </sheetView>
  </sheetViews>
  <sheetFormatPr defaultRowHeight="12.75" x14ac:dyDescent="0.2"/>
  <cols>
    <col min="1" max="1" width="46.5703125" style="1519" customWidth="1"/>
    <col min="2" max="2" width="11" style="1519" customWidth="1"/>
    <col min="3" max="3" width="10.140625" style="1519" customWidth="1"/>
    <col min="4" max="4" width="9.7109375" style="1519" customWidth="1"/>
    <col min="5" max="5" width="11" style="1519" customWidth="1"/>
    <col min="6" max="6" width="10.85546875" style="1519" bestFit="1" customWidth="1"/>
    <col min="7" max="7" width="14" style="1519" customWidth="1"/>
    <col min="8" max="8" width="12" style="1519" bestFit="1" customWidth="1"/>
    <col min="9" max="9" width="19.140625" style="1519" customWidth="1"/>
    <col min="10" max="10" width="15.140625" style="1519" customWidth="1"/>
    <col min="11" max="11" width="12.7109375" style="1519" customWidth="1"/>
    <col min="12" max="16384" width="9.140625" style="1519"/>
  </cols>
  <sheetData>
    <row r="1" spans="1:10" x14ac:dyDescent="0.2">
      <c r="D1" s="2037">
        <v>15</v>
      </c>
      <c r="E1" s="2037"/>
    </row>
    <row r="3" spans="1:10" ht="18" x14ac:dyDescent="0.25">
      <c r="A3" s="2018" t="s">
        <v>236</v>
      </c>
      <c r="B3" s="2018"/>
      <c r="C3" s="2018"/>
      <c r="D3" s="2018"/>
      <c r="E3" s="2018"/>
    </row>
    <row r="5" spans="1:10" ht="15.75" x14ac:dyDescent="0.25">
      <c r="A5" s="2019" t="s">
        <v>1157</v>
      </c>
      <c r="B5" s="2019"/>
      <c r="C5" s="2019"/>
      <c r="D5" s="2019"/>
      <c r="E5" s="2019"/>
    </row>
    <row r="6" spans="1:10" ht="12.75" customHeight="1" x14ac:dyDescent="0.25">
      <c r="A6" s="1520"/>
      <c r="B6" s="1520"/>
      <c r="C6" s="1520"/>
      <c r="D6" s="1520"/>
    </row>
    <row r="7" spans="1:10" ht="12.75" customHeight="1" thickBot="1" x14ac:dyDescent="0.25">
      <c r="E7" s="1521" t="s">
        <v>70</v>
      </c>
    </row>
    <row r="8" spans="1:10" ht="12.75" customHeight="1" thickBot="1" x14ac:dyDescent="0.25">
      <c r="A8" s="1522" t="s">
        <v>71</v>
      </c>
      <c r="B8" s="1561" t="s">
        <v>1038</v>
      </c>
      <c r="C8" s="1523" t="s">
        <v>987</v>
      </c>
      <c r="D8" s="1523" t="s">
        <v>72</v>
      </c>
      <c r="E8" s="1524" t="s">
        <v>73</v>
      </c>
    </row>
    <row r="9" spans="1:10" ht="12.75" customHeight="1" x14ac:dyDescent="0.2">
      <c r="A9" s="1525" t="s">
        <v>1163</v>
      </c>
      <c r="B9" s="1630">
        <v>0</v>
      </c>
      <c r="C9" s="1526">
        <f>18115.79</f>
        <v>18115.79</v>
      </c>
      <c r="D9" s="1526">
        <f>C9</f>
        <v>18115.79</v>
      </c>
      <c r="E9" s="1528">
        <f>D9/C9</f>
        <v>1</v>
      </c>
      <c r="G9" s="1631"/>
    </row>
    <row r="10" spans="1:10" ht="12.75" customHeight="1" x14ac:dyDescent="0.2">
      <c r="A10" s="1531" t="s">
        <v>1150</v>
      </c>
      <c r="B10" s="1632">
        <v>10000</v>
      </c>
      <c r="C10" s="1532">
        <v>21636.91</v>
      </c>
      <c r="D10" s="1532">
        <v>20284.189999999999</v>
      </c>
      <c r="E10" s="1528">
        <f>D10/C10</f>
        <v>0.93748090646954663</v>
      </c>
    </row>
    <row r="11" spans="1:10" ht="12.75" customHeight="1" x14ac:dyDescent="0.2">
      <c r="A11" s="1531" t="s">
        <v>772</v>
      </c>
      <c r="B11" s="1632">
        <v>0</v>
      </c>
      <c r="C11" s="1532">
        <v>10000</v>
      </c>
      <c r="D11" s="1532">
        <v>10000</v>
      </c>
      <c r="E11" s="1528">
        <f>D11/C11</f>
        <v>1</v>
      </c>
    </row>
    <row r="12" spans="1:10" ht="12.75" customHeight="1" x14ac:dyDescent="0.2">
      <c r="A12" s="1531" t="s">
        <v>773</v>
      </c>
      <c r="B12" s="1632">
        <v>0</v>
      </c>
      <c r="C12" s="1532">
        <v>0</v>
      </c>
      <c r="D12" s="1532">
        <v>0</v>
      </c>
      <c r="E12" s="1603" t="s">
        <v>75</v>
      </c>
    </row>
    <row r="13" spans="1:10" ht="12.75" customHeight="1" x14ac:dyDescent="0.2">
      <c r="A13" s="1531" t="s">
        <v>2003</v>
      </c>
      <c r="B13" s="1632">
        <v>0</v>
      </c>
      <c r="C13" s="1532">
        <f>463.64175</f>
        <v>463.64175</v>
      </c>
      <c r="D13" s="1532">
        <v>646.54</v>
      </c>
      <c r="E13" s="1528">
        <f>D13/C13</f>
        <v>1.3944818386178552</v>
      </c>
      <c r="H13" s="1633"/>
      <c r="I13" s="1633"/>
      <c r="J13" s="1633"/>
    </row>
    <row r="14" spans="1:10" ht="12.75" customHeight="1" thickBot="1" x14ac:dyDescent="0.25">
      <c r="A14" s="1634" t="s">
        <v>74</v>
      </c>
      <c r="B14" s="1635">
        <v>0</v>
      </c>
      <c r="C14" s="1636">
        <v>0</v>
      </c>
      <c r="D14" s="1636">
        <v>0</v>
      </c>
      <c r="E14" s="1637" t="s">
        <v>75</v>
      </c>
    </row>
    <row r="15" spans="1:10" ht="12.75" customHeight="1" thickBot="1" x14ac:dyDescent="0.25">
      <c r="A15" s="1535" t="s">
        <v>1159</v>
      </c>
      <c r="B15" s="1537">
        <f>SUM(B9:B14)</f>
        <v>10000</v>
      </c>
      <c r="C15" s="1537">
        <f>SUM(C9:C14)</f>
        <v>50216.34175</v>
      </c>
      <c r="D15" s="1638">
        <f>SUM(D9:D14)</f>
        <v>49046.52</v>
      </c>
      <c r="E15" s="1538">
        <f>D15/C15</f>
        <v>0.97670436138450878</v>
      </c>
      <c r="H15" s="1529"/>
    </row>
    <row r="16" spans="1:10" ht="12.75" customHeight="1" x14ac:dyDescent="0.2">
      <c r="A16" s="1539"/>
      <c r="B16" s="1540"/>
      <c r="C16" s="1540"/>
      <c r="D16" s="1540"/>
      <c r="G16" s="1550"/>
      <c r="H16" s="1529"/>
    </row>
    <row r="17" spans="1:9" ht="15.75" x14ac:dyDescent="0.25">
      <c r="A17" s="2019" t="s">
        <v>1158</v>
      </c>
      <c r="B17" s="2019"/>
      <c r="C17" s="2019"/>
      <c r="D17" s="2019"/>
      <c r="E17" s="2019"/>
      <c r="I17" s="1550"/>
    </row>
    <row r="18" spans="1:9" ht="12.75" customHeight="1" x14ac:dyDescent="0.25">
      <c r="A18" s="1520"/>
      <c r="B18" s="1520"/>
      <c r="C18" s="1520"/>
      <c r="D18" s="1520"/>
    </row>
    <row r="19" spans="1:9" ht="12.75" customHeight="1" thickBot="1" x14ac:dyDescent="0.3">
      <c r="A19" s="1520"/>
      <c r="B19" s="1520"/>
      <c r="C19" s="1520"/>
      <c r="D19" s="1520"/>
      <c r="E19" s="1521" t="s">
        <v>70</v>
      </c>
    </row>
    <row r="20" spans="1:9" ht="12.75" customHeight="1" thickBot="1" x14ac:dyDescent="0.25">
      <c r="A20" s="1522" t="s">
        <v>71</v>
      </c>
      <c r="B20" s="1561" t="s">
        <v>1038</v>
      </c>
      <c r="C20" s="1523" t="s">
        <v>987</v>
      </c>
      <c r="D20" s="1639" t="s">
        <v>72</v>
      </c>
      <c r="E20" s="1524" t="s">
        <v>73</v>
      </c>
    </row>
    <row r="21" spans="1:9" ht="12.75" customHeight="1" x14ac:dyDescent="0.2">
      <c r="A21" s="1640" t="s">
        <v>378</v>
      </c>
      <c r="B21" s="1641">
        <v>9500</v>
      </c>
      <c r="C21" s="1642">
        <v>5052.2700000000004</v>
      </c>
      <c r="D21" s="1643">
        <v>0</v>
      </c>
      <c r="E21" s="1533" t="s">
        <v>75</v>
      </c>
    </row>
    <row r="22" spans="1:9" ht="12.75" customHeight="1" x14ac:dyDescent="0.2">
      <c r="A22" s="1531" t="s">
        <v>413</v>
      </c>
      <c r="B22" s="1644">
        <v>500</v>
      </c>
      <c r="C22" s="1532">
        <v>500</v>
      </c>
      <c r="D22" s="1645">
        <v>23.954000000000001</v>
      </c>
      <c r="E22" s="1528">
        <f t="shared" ref="E22:E36" si="0">D22/C22</f>
        <v>4.7907999999999999E-2</v>
      </c>
    </row>
    <row r="23" spans="1:9" ht="12.75" customHeight="1" x14ac:dyDescent="0.2">
      <c r="A23" s="1545" t="s">
        <v>2004</v>
      </c>
      <c r="B23" s="1646">
        <v>0</v>
      </c>
      <c r="C23" s="1543">
        <v>400</v>
      </c>
      <c r="D23" s="1647">
        <v>400</v>
      </c>
      <c r="E23" s="1528">
        <f t="shared" si="0"/>
        <v>1</v>
      </c>
    </row>
    <row r="24" spans="1:9" ht="12.75" customHeight="1" x14ac:dyDescent="0.2">
      <c r="A24" s="1640" t="s">
        <v>2005</v>
      </c>
      <c r="B24" s="1648">
        <v>0</v>
      </c>
      <c r="C24" s="1649">
        <v>373.49</v>
      </c>
      <c r="D24" s="1650">
        <v>0</v>
      </c>
      <c r="E24" s="1528">
        <f t="shared" si="0"/>
        <v>0</v>
      </c>
    </row>
    <row r="25" spans="1:9" ht="12.75" customHeight="1" x14ac:dyDescent="0.2">
      <c r="A25" s="1640" t="s">
        <v>1165</v>
      </c>
      <c r="B25" s="1648">
        <v>0</v>
      </c>
      <c r="C25" s="1649">
        <v>2500</v>
      </c>
      <c r="D25" s="1650">
        <v>2500</v>
      </c>
      <c r="E25" s="1528">
        <f t="shared" si="0"/>
        <v>1</v>
      </c>
    </row>
    <row r="26" spans="1:9" ht="12.75" customHeight="1" x14ac:dyDescent="0.2">
      <c r="A26" s="1545" t="s">
        <v>1164</v>
      </c>
      <c r="B26" s="1648">
        <v>0</v>
      </c>
      <c r="C26" s="1649">
        <v>9744.98</v>
      </c>
      <c r="D26" s="1650">
        <v>487.10124000000002</v>
      </c>
      <c r="E26" s="1528">
        <f>D26/C26</f>
        <v>4.9984837321369574E-2</v>
      </c>
    </row>
    <row r="27" spans="1:9" ht="12.75" customHeight="1" x14ac:dyDescent="0.2">
      <c r="A27" s="1640" t="s">
        <v>1166</v>
      </c>
      <c r="B27" s="1648">
        <v>0</v>
      </c>
      <c r="C27" s="1649">
        <v>5700</v>
      </c>
      <c r="D27" s="1650">
        <v>5700</v>
      </c>
      <c r="E27" s="1528">
        <f t="shared" si="0"/>
        <v>1</v>
      </c>
    </row>
    <row r="28" spans="1:9" ht="12.75" customHeight="1" x14ac:dyDescent="0.2">
      <c r="A28" s="1640" t="s">
        <v>2006</v>
      </c>
      <c r="B28" s="1648">
        <v>0</v>
      </c>
      <c r="C28" s="1649">
        <v>2199.02</v>
      </c>
      <c r="D28" s="1650">
        <v>2016.11</v>
      </c>
      <c r="E28" s="1528">
        <f t="shared" si="0"/>
        <v>0.91682203890824088</v>
      </c>
    </row>
    <row r="29" spans="1:9" ht="12.75" customHeight="1" x14ac:dyDescent="0.2">
      <c r="A29" s="1640" t="s">
        <v>2007</v>
      </c>
      <c r="B29" s="1648">
        <v>0</v>
      </c>
      <c r="C29" s="1649">
        <v>3851.39</v>
      </c>
      <c r="D29" s="1650">
        <v>3851.39</v>
      </c>
      <c r="E29" s="1528">
        <f t="shared" si="0"/>
        <v>1</v>
      </c>
    </row>
    <row r="30" spans="1:9" ht="12.75" customHeight="1" x14ac:dyDescent="0.2">
      <c r="A30" s="1640" t="s">
        <v>2008</v>
      </c>
      <c r="B30" s="1648">
        <v>0</v>
      </c>
      <c r="C30" s="1649">
        <v>2646.11</v>
      </c>
      <c r="D30" s="1650">
        <v>2646.11</v>
      </c>
      <c r="E30" s="1528">
        <f t="shared" si="0"/>
        <v>1</v>
      </c>
    </row>
    <row r="31" spans="1:9" ht="12.75" customHeight="1" x14ac:dyDescent="0.2">
      <c r="A31" s="1640" t="s">
        <v>2009</v>
      </c>
      <c r="B31" s="1648">
        <v>0</v>
      </c>
      <c r="C31" s="1649">
        <v>1584.9</v>
      </c>
      <c r="D31" s="1650">
        <v>1495.41</v>
      </c>
      <c r="E31" s="1528">
        <f t="shared" si="0"/>
        <v>0.94353586977096349</v>
      </c>
    </row>
    <row r="32" spans="1:9" ht="12.75" customHeight="1" x14ac:dyDescent="0.2">
      <c r="A32" s="1640" t="s">
        <v>2010</v>
      </c>
      <c r="B32" s="1648">
        <v>0</v>
      </c>
      <c r="C32" s="1649">
        <v>4058.16</v>
      </c>
      <c r="D32" s="1650">
        <v>2705.44</v>
      </c>
      <c r="E32" s="1528">
        <f t="shared" si="0"/>
        <v>0.66666666666666674</v>
      </c>
    </row>
    <row r="33" spans="1:9" x14ac:dyDescent="0.2">
      <c r="A33" s="1651" t="s">
        <v>1167</v>
      </c>
      <c r="B33" s="1652">
        <v>0</v>
      </c>
      <c r="C33" s="1649">
        <v>2000</v>
      </c>
      <c r="D33" s="1650">
        <v>7.8660500000000004</v>
      </c>
      <c r="E33" s="1528">
        <f t="shared" si="0"/>
        <v>3.9330250000000006E-3</v>
      </c>
    </row>
    <row r="34" spans="1:9" x14ac:dyDescent="0.2">
      <c r="A34" s="1653" t="s">
        <v>1169</v>
      </c>
      <c r="B34" s="1648">
        <v>0</v>
      </c>
      <c r="C34" s="1649">
        <v>6047.25</v>
      </c>
      <c r="D34" s="1650">
        <v>96.074479999999994</v>
      </c>
      <c r="E34" s="1528">
        <f t="shared" si="0"/>
        <v>1.588730083922444E-2</v>
      </c>
    </row>
    <row r="35" spans="1:9" x14ac:dyDescent="0.2">
      <c r="A35" s="1654" t="s">
        <v>2011</v>
      </c>
      <c r="B35" s="1641">
        <v>0</v>
      </c>
      <c r="C35" s="1642">
        <v>58.77</v>
      </c>
      <c r="D35" s="1643">
        <v>58.76</v>
      </c>
      <c r="E35" s="1528">
        <f t="shared" si="0"/>
        <v>0.99982984515909468</v>
      </c>
    </row>
    <row r="36" spans="1:9" ht="12.75" customHeight="1" thickBot="1" x14ac:dyDescent="0.25">
      <c r="A36" s="1654" t="s">
        <v>1168</v>
      </c>
      <c r="B36" s="1648">
        <v>0</v>
      </c>
      <c r="C36" s="1649">
        <v>3500</v>
      </c>
      <c r="D36" s="1650">
        <v>3500</v>
      </c>
      <c r="E36" s="1544">
        <f t="shared" si="0"/>
        <v>1</v>
      </c>
    </row>
    <row r="37" spans="1:9" ht="12.75" customHeight="1" thickBot="1" x14ac:dyDescent="0.25">
      <c r="A37" s="1655" t="s">
        <v>1160</v>
      </c>
      <c r="B37" s="1656">
        <f>SUM(B21:B22)</f>
        <v>10000</v>
      </c>
      <c r="C37" s="1536">
        <f>SUM(C21:C36)</f>
        <v>50216.339999999989</v>
      </c>
      <c r="D37" s="1536">
        <f>SUM(D21:D36)</f>
        <v>25488.215769999995</v>
      </c>
      <c r="E37" s="1538">
        <f>D37/C37</f>
        <v>0.50756816944444783</v>
      </c>
    </row>
    <row r="38" spans="1:9" x14ac:dyDescent="0.2">
      <c r="A38" s="1547"/>
      <c r="B38" s="1548"/>
      <c r="C38" s="1548"/>
      <c r="D38" s="1548"/>
      <c r="H38" s="1529"/>
    </row>
    <row r="39" spans="1:9" ht="15.75" x14ac:dyDescent="0.25">
      <c r="A39" s="2019" t="s">
        <v>1171</v>
      </c>
      <c r="B39" s="2019"/>
      <c r="C39" s="2019"/>
      <c r="D39" s="2019"/>
      <c r="I39" s="1529"/>
    </row>
    <row r="40" spans="1:9" ht="12.75" customHeight="1" x14ac:dyDescent="0.2">
      <c r="A40" s="1547"/>
      <c r="B40" s="1548"/>
      <c r="C40" s="1548"/>
      <c r="D40" s="1548"/>
    </row>
    <row r="41" spans="1:9" ht="12.75" customHeight="1" thickBot="1" x14ac:dyDescent="0.25">
      <c r="B41" s="1550"/>
      <c r="C41" s="1550"/>
      <c r="D41" s="1550"/>
      <c r="E41" s="1521" t="s">
        <v>70</v>
      </c>
    </row>
    <row r="42" spans="1:9" ht="33.75" customHeight="1" thickBot="1" x14ac:dyDescent="0.25">
      <c r="A42" s="1551" t="s">
        <v>76</v>
      </c>
      <c r="B42" s="1657" t="s">
        <v>1142</v>
      </c>
      <c r="C42" s="1552" t="s">
        <v>1143</v>
      </c>
      <c r="D42" s="1553" t="s">
        <v>1162</v>
      </c>
      <c r="E42" s="1554" t="s">
        <v>77</v>
      </c>
    </row>
    <row r="43" spans="1:9" ht="12.75" customHeight="1" thickBot="1" x14ac:dyDescent="0.25">
      <c r="A43" s="1555" t="s">
        <v>1161</v>
      </c>
      <c r="B43" s="1658">
        <f>D15</f>
        <v>49046.52</v>
      </c>
      <c r="C43" s="1556">
        <f>D37</f>
        <v>25488.215769999995</v>
      </c>
      <c r="D43" s="1556">
        <f>+D15-D37</f>
        <v>23558.304230000002</v>
      </c>
      <c r="E43" s="1557" t="s">
        <v>277</v>
      </c>
    </row>
    <row r="44" spans="1:9" ht="12.75" customHeight="1" x14ac:dyDescent="0.2">
      <c r="E44" s="1659"/>
      <c r="F44" s="1550"/>
      <c r="G44" s="1529"/>
      <c r="H44" s="1529"/>
    </row>
    <row r="45" spans="1:9" ht="40.5" customHeight="1" x14ac:dyDescent="0.2">
      <c r="A45" s="2036" t="s">
        <v>1175</v>
      </c>
      <c r="B45" s="2036"/>
      <c r="C45" s="2036"/>
      <c r="D45" s="2036"/>
      <c r="E45" s="2036"/>
      <c r="F45" s="1660"/>
    </row>
  </sheetData>
  <mergeCells count="6">
    <mergeCell ref="A45:E45"/>
    <mergeCell ref="D1:E1"/>
    <mergeCell ref="A3:E3"/>
    <mergeCell ref="A5:E5"/>
    <mergeCell ref="A17:E17"/>
    <mergeCell ref="A39:D39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9"/>
  <sheetViews>
    <sheetView workbookViewId="0">
      <selection activeCell="D41" sqref="D41"/>
    </sheetView>
  </sheetViews>
  <sheetFormatPr defaultRowHeight="12.75" x14ac:dyDescent="0.2"/>
  <cols>
    <col min="1" max="1" width="44" style="72" customWidth="1"/>
    <col min="2" max="4" width="10.5703125" style="72" customWidth="1"/>
    <col min="5" max="6" width="9.140625" style="72"/>
    <col min="7" max="7" width="13.85546875" style="1044" customWidth="1"/>
    <col min="8" max="16384" width="9.140625" style="72"/>
  </cols>
  <sheetData>
    <row r="1" spans="1:7" x14ac:dyDescent="0.2">
      <c r="D1" s="2011">
        <v>16</v>
      </c>
      <c r="E1" s="2011"/>
    </row>
    <row r="3" spans="1:7" ht="18" x14ac:dyDescent="0.25">
      <c r="A3" s="2012" t="s">
        <v>230</v>
      </c>
      <c r="B3" s="2012"/>
      <c r="C3" s="2012"/>
      <c r="D3" s="2012"/>
      <c r="E3" s="2012"/>
    </row>
    <row r="5" spans="1:7" ht="15.75" x14ac:dyDescent="0.25">
      <c r="A5" s="2013" t="s">
        <v>1176</v>
      </c>
      <c r="B5" s="2013"/>
      <c r="C5" s="2013"/>
      <c r="D5" s="2013"/>
      <c r="E5" s="2013"/>
    </row>
    <row r="6" spans="1:7" ht="12.75" customHeight="1" x14ac:dyDescent="0.25">
      <c r="A6" s="126"/>
      <c r="B6" s="126"/>
      <c r="C6" s="126"/>
      <c r="D6" s="126"/>
      <c r="E6" s="126"/>
    </row>
    <row r="7" spans="1:7" ht="12.75" customHeight="1" thickBot="1" x14ac:dyDescent="0.25">
      <c r="E7" s="127" t="s">
        <v>70</v>
      </c>
    </row>
    <row r="8" spans="1:7" ht="12.75" customHeight="1" thickBot="1" x14ac:dyDescent="0.25">
      <c r="A8" s="128" t="s">
        <v>71</v>
      </c>
      <c r="B8" s="129" t="s">
        <v>1038</v>
      </c>
      <c r="C8" s="130" t="s">
        <v>987</v>
      </c>
      <c r="D8" s="130" t="s">
        <v>72</v>
      </c>
      <c r="E8" s="131" t="s">
        <v>73</v>
      </c>
    </row>
    <row r="9" spans="1:7" ht="12.75" customHeight="1" x14ac:dyDescent="0.2">
      <c r="A9" s="132" t="s">
        <v>1177</v>
      </c>
      <c r="B9" s="439">
        <v>0</v>
      </c>
      <c r="C9" s="133">
        <f>26199.5</f>
        <v>26199.5</v>
      </c>
      <c r="D9" s="133">
        <f>26199.5</f>
        <v>26199.5</v>
      </c>
      <c r="E9" s="153">
        <f>D9/C9</f>
        <v>1</v>
      </c>
    </row>
    <row r="10" spans="1:7" ht="12.75" customHeight="1" x14ac:dyDescent="0.2">
      <c r="A10" s="151" t="s">
        <v>1179</v>
      </c>
      <c r="B10" s="448">
        <v>18000</v>
      </c>
      <c r="C10" s="152">
        <v>18000</v>
      </c>
      <c r="D10" s="152">
        <v>19130.535629999998</v>
      </c>
      <c r="E10" s="153">
        <f>D10/C10</f>
        <v>1.0628075349999999</v>
      </c>
      <c r="G10" s="1045"/>
    </row>
    <row r="11" spans="1:7" ht="12.75" customHeight="1" x14ac:dyDescent="0.2">
      <c r="A11" s="151" t="s">
        <v>1150</v>
      </c>
      <c r="B11" s="448">
        <v>7800</v>
      </c>
      <c r="C11" s="152">
        <f>7800+5000</f>
        <v>12800</v>
      </c>
      <c r="D11" s="152">
        <f>7800+5000</f>
        <v>12800</v>
      </c>
      <c r="E11" s="155" t="s">
        <v>75</v>
      </c>
    </row>
    <row r="12" spans="1:7" ht="12.75" customHeight="1" x14ac:dyDescent="0.2">
      <c r="A12" s="151" t="s">
        <v>755</v>
      </c>
      <c r="B12" s="448">
        <v>0</v>
      </c>
      <c r="C12" s="152">
        <v>0</v>
      </c>
      <c r="D12" s="152">
        <v>36.334629999999997</v>
      </c>
      <c r="E12" s="155" t="s">
        <v>75</v>
      </c>
      <c r="G12" s="1045"/>
    </row>
    <row r="13" spans="1:7" ht="12.75" customHeight="1" thickBot="1" x14ac:dyDescent="0.25">
      <c r="A13" s="140" t="s">
        <v>74</v>
      </c>
      <c r="B13" s="141">
        <v>0</v>
      </c>
      <c r="C13" s="142">
        <v>0</v>
      </c>
      <c r="D13" s="142">
        <v>0</v>
      </c>
      <c r="E13" s="176" t="s">
        <v>75</v>
      </c>
    </row>
    <row r="14" spans="1:7" ht="12.75" customHeight="1" thickBot="1" x14ac:dyDescent="0.25">
      <c r="A14" s="144" t="s">
        <v>1180</v>
      </c>
      <c r="B14" s="159">
        <f>SUM(B9:B13)</f>
        <v>25800</v>
      </c>
      <c r="C14" s="174">
        <f>SUM(C9:C13)</f>
        <v>56999.5</v>
      </c>
      <c r="D14" s="146">
        <f>SUM(D9:D13)</f>
        <v>58166.370259999996</v>
      </c>
      <c r="E14" s="148">
        <f>D14/C14</f>
        <v>1.0204715876455055</v>
      </c>
    </row>
    <row r="15" spans="1:7" x14ac:dyDescent="0.2">
      <c r="A15" s="73"/>
      <c r="B15" s="149"/>
      <c r="C15" s="149"/>
      <c r="D15" s="149"/>
      <c r="E15" s="75"/>
    </row>
    <row r="16" spans="1:7" x14ac:dyDescent="0.2">
      <c r="A16" s="73"/>
      <c r="B16" s="149"/>
      <c r="C16" s="149"/>
      <c r="D16" s="149"/>
      <c r="E16" s="75"/>
    </row>
    <row r="17" spans="1:5" ht="15.75" x14ac:dyDescent="0.25">
      <c r="A17" s="2013" t="s">
        <v>1182</v>
      </c>
      <c r="B17" s="2013"/>
      <c r="C17" s="2013"/>
      <c r="D17" s="2013"/>
      <c r="E17" s="2013"/>
    </row>
    <row r="18" spans="1:5" ht="12.75" customHeight="1" x14ac:dyDescent="0.25">
      <c r="A18" s="126"/>
      <c r="B18" s="126"/>
      <c r="C18" s="126"/>
      <c r="D18" s="126"/>
      <c r="E18" s="126"/>
    </row>
    <row r="19" spans="1:5" ht="12.75" customHeight="1" thickBot="1" x14ac:dyDescent="0.3">
      <c r="A19" s="126"/>
      <c r="B19" s="126"/>
      <c r="C19" s="126"/>
      <c r="D19" s="126"/>
      <c r="E19" s="127" t="s">
        <v>70</v>
      </c>
    </row>
    <row r="20" spans="1:5" ht="12.75" customHeight="1" thickBot="1" x14ac:dyDescent="0.25">
      <c r="A20" s="128" t="s">
        <v>71</v>
      </c>
      <c r="B20" s="129" t="s">
        <v>1038</v>
      </c>
      <c r="C20" s="130" t="s">
        <v>987</v>
      </c>
      <c r="D20" s="130" t="s">
        <v>72</v>
      </c>
      <c r="E20" s="131" t="s">
        <v>73</v>
      </c>
    </row>
    <row r="21" spans="1:5" ht="12.75" customHeight="1" x14ac:dyDescent="0.2">
      <c r="A21" s="151" t="s">
        <v>422</v>
      </c>
      <c r="B21" s="448">
        <v>5000</v>
      </c>
      <c r="C21" s="152">
        <v>5000</v>
      </c>
      <c r="D21" s="451">
        <v>0</v>
      </c>
      <c r="E21" s="175">
        <f t="shared" ref="E21:E30" si="0">D21/C21</f>
        <v>0</v>
      </c>
    </row>
    <row r="22" spans="1:5" ht="12.75" customHeight="1" x14ac:dyDescent="0.2">
      <c r="A22" s="151" t="s">
        <v>1178</v>
      </c>
      <c r="B22" s="449">
        <v>5000</v>
      </c>
      <c r="C22" s="450">
        <v>5000</v>
      </c>
      <c r="D22" s="452">
        <v>0</v>
      </c>
      <c r="E22" s="175">
        <f t="shared" si="0"/>
        <v>0</v>
      </c>
    </row>
    <row r="23" spans="1:5" ht="12.75" customHeight="1" x14ac:dyDescent="0.2">
      <c r="A23" s="151" t="s">
        <v>231</v>
      </c>
      <c r="B23" s="449">
        <v>9800</v>
      </c>
      <c r="C23" s="450">
        <f>12851.41-726.71</f>
        <v>12124.7</v>
      </c>
      <c r="D23" s="452">
        <f>5232.46984-0</f>
        <v>5232.4698399999997</v>
      </c>
      <c r="E23" s="175">
        <f t="shared" si="0"/>
        <v>0.43155458196903834</v>
      </c>
    </row>
    <row r="24" spans="1:5" ht="12.75" customHeight="1" x14ac:dyDescent="0.2">
      <c r="A24" s="151" t="s">
        <v>232</v>
      </c>
      <c r="B24" s="449">
        <v>0</v>
      </c>
      <c r="C24" s="450">
        <v>726.71</v>
      </c>
      <c r="D24" s="452">
        <v>0</v>
      </c>
      <c r="E24" s="175">
        <f t="shared" si="0"/>
        <v>0</v>
      </c>
    </row>
    <row r="25" spans="1:5" ht="12.75" customHeight="1" x14ac:dyDescent="0.2">
      <c r="A25" s="453" t="s">
        <v>233</v>
      </c>
      <c r="B25" s="449">
        <v>0</v>
      </c>
      <c r="C25" s="450">
        <v>5041.29</v>
      </c>
      <c r="D25" s="452">
        <v>0</v>
      </c>
      <c r="E25" s="175">
        <f t="shared" si="0"/>
        <v>0</v>
      </c>
    </row>
    <row r="26" spans="1:5" ht="12.75" customHeight="1" x14ac:dyDescent="0.2">
      <c r="A26" s="454" t="s">
        <v>234</v>
      </c>
      <c r="B26" s="449">
        <v>0</v>
      </c>
      <c r="C26" s="450">
        <f>26106.8-924.88</f>
        <v>25181.919999999998</v>
      </c>
      <c r="D26" s="452">
        <f>22577.03154</f>
        <v>22577.03154</v>
      </c>
      <c r="E26" s="175">
        <f t="shared" si="0"/>
        <v>0.89655719420917868</v>
      </c>
    </row>
    <row r="27" spans="1:5" ht="12.75" customHeight="1" x14ac:dyDescent="0.2">
      <c r="A27" s="454" t="s">
        <v>235</v>
      </c>
      <c r="B27" s="448">
        <v>3000</v>
      </c>
      <c r="C27" s="152">
        <v>924.88</v>
      </c>
      <c r="D27" s="451">
        <v>0</v>
      </c>
      <c r="E27" s="153">
        <f t="shared" si="0"/>
        <v>0</v>
      </c>
    </row>
    <row r="28" spans="1:5" ht="12.75" customHeight="1" x14ac:dyDescent="0.2">
      <c r="A28" s="454" t="s">
        <v>667</v>
      </c>
      <c r="B28" s="444">
        <v>0</v>
      </c>
      <c r="C28" s="451">
        <f>94.5+83</f>
        <v>177.5</v>
      </c>
      <c r="D28" s="451">
        <v>0</v>
      </c>
      <c r="E28" s="153">
        <f t="shared" si="0"/>
        <v>0</v>
      </c>
    </row>
    <row r="29" spans="1:5" ht="12.75" customHeight="1" thickBot="1" x14ac:dyDescent="0.25">
      <c r="A29" s="454" t="s">
        <v>666</v>
      </c>
      <c r="B29" s="444">
        <v>3000</v>
      </c>
      <c r="C29" s="451">
        <v>2822.5</v>
      </c>
      <c r="D29" s="451">
        <v>0</v>
      </c>
      <c r="E29" s="153">
        <f>D29/C29</f>
        <v>0</v>
      </c>
    </row>
    <row r="30" spans="1:5" ht="12.75" customHeight="1" thickBot="1" x14ac:dyDescent="0.25">
      <c r="A30" s="144" t="s">
        <v>1181</v>
      </c>
      <c r="B30" s="159">
        <f>SUM(B21:B29)</f>
        <v>25800</v>
      </c>
      <c r="C30" s="174">
        <f>SUM(C21:C29)</f>
        <v>56999.499999999993</v>
      </c>
      <c r="D30" s="146">
        <f>SUM(D21:D29)</f>
        <v>27809.501380000002</v>
      </c>
      <c r="E30" s="148">
        <f t="shared" si="0"/>
        <v>0.48789026886200765</v>
      </c>
    </row>
    <row r="31" spans="1:5" x14ac:dyDescent="0.2">
      <c r="A31" s="160"/>
      <c r="B31" s="161"/>
      <c r="C31" s="161"/>
      <c r="D31" s="161"/>
      <c r="E31" s="162"/>
    </row>
    <row r="32" spans="1:5" x14ac:dyDescent="0.2">
      <c r="A32" s="160"/>
      <c r="B32" s="161"/>
      <c r="C32" s="161"/>
      <c r="D32" s="161"/>
      <c r="E32" s="162"/>
    </row>
    <row r="33" spans="1:7" ht="15.75" x14ac:dyDescent="0.25">
      <c r="A33" s="2014" t="s">
        <v>1183</v>
      </c>
      <c r="B33" s="2014"/>
      <c r="C33" s="2014"/>
      <c r="D33" s="2014"/>
      <c r="E33" s="2014"/>
    </row>
    <row r="34" spans="1:7" ht="12.75" customHeight="1" x14ac:dyDescent="0.2">
      <c r="A34" s="160"/>
      <c r="B34" s="161"/>
      <c r="C34" s="161"/>
      <c r="D34" s="161"/>
      <c r="E34" s="162"/>
    </row>
    <row r="35" spans="1:7" ht="12.75" customHeight="1" thickBot="1" x14ac:dyDescent="0.25">
      <c r="B35" s="163"/>
      <c r="C35" s="163"/>
      <c r="D35" s="163"/>
      <c r="E35" s="127" t="s">
        <v>70</v>
      </c>
    </row>
    <row r="36" spans="1:7" ht="37.5" customHeight="1" thickBot="1" x14ac:dyDescent="0.25">
      <c r="A36" s="164" t="s">
        <v>76</v>
      </c>
      <c r="B36" s="165" t="s">
        <v>1142</v>
      </c>
      <c r="C36" s="166" t="s">
        <v>1143</v>
      </c>
      <c r="D36" s="167" t="s">
        <v>1184</v>
      </c>
      <c r="E36" s="168" t="s">
        <v>77</v>
      </c>
    </row>
    <row r="37" spans="1:7" ht="12.75" customHeight="1" thickBot="1" x14ac:dyDescent="0.25">
      <c r="A37" s="169" t="s">
        <v>1185</v>
      </c>
      <c r="B37" s="170">
        <f>D14</f>
        <v>58166.370259999996</v>
      </c>
      <c r="C37" s="171">
        <f>D30</f>
        <v>27809.501380000002</v>
      </c>
      <c r="D37" s="171">
        <f>+D14-D30</f>
        <v>30356.868879999995</v>
      </c>
      <c r="E37" s="172" t="s">
        <v>277</v>
      </c>
    </row>
    <row r="38" spans="1:7" x14ac:dyDescent="0.2">
      <c r="E38" s="173"/>
    </row>
    <row r="39" spans="1:7" ht="45" customHeight="1" x14ac:dyDescent="0.2">
      <c r="A39" s="2010" t="s">
        <v>1186</v>
      </c>
      <c r="B39" s="2038"/>
      <c r="C39" s="2038"/>
      <c r="D39" s="2038"/>
      <c r="E39" s="2038"/>
      <c r="G39" s="1046"/>
    </row>
  </sheetData>
  <mergeCells count="6">
    <mergeCell ref="A39:E39"/>
    <mergeCell ref="D1:E1"/>
    <mergeCell ref="A3:E3"/>
    <mergeCell ref="A5:E5"/>
    <mergeCell ref="A17:E17"/>
    <mergeCell ref="A33:E3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7"/>
  <sheetViews>
    <sheetView topLeftCell="A22" workbookViewId="0">
      <selection activeCell="I33" sqref="I33"/>
    </sheetView>
  </sheetViews>
  <sheetFormatPr defaultRowHeight="12.75" x14ac:dyDescent="0.2"/>
  <cols>
    <col min="1" max="1" width="44" style="72" customWidth="1"/>
    <col min="2" max="4" width="10.5703125" style="72" customWidth="1"/>
    <col min="5" max="6" width="9.140625" style="72"/>
    <col min="7" max="7" width="22.85546875" style="72" customWidth="1"/>
    <col min="8" max="16384" width="9.140625" style="72"/>
  </cols>
  <sheetData>
    <row r="1" spans="1:5" x14ac:dyDescent="0.2">
      <c r="D1" s="2011">
        <v>17</v>
      </c>
      <c r="E1" s="2011"/>
    </row>
    <row r="3" spans="1:5" ht="18" x14ac:dyDescent="0.25">
      <c r="A3" s="2012" t="s">
        <v>229</v>
      </c>
      <c r="B3" s="2012"/>
      <c r="C3" s="2012"/>
      <c r="D3" s="2012"/>
      <c r="E3" s="2012"/>
    </row>
    <row r="5" spans="1:5" ht="15.75" x14ac:dyDescent="0.25">
      <c r="A5" s="2013" t="s">
        <v>1187</v>
      </c>
      <c r="B5" s="2013"/>
      <c r="C5" s="2013"/>
      <c r="D5" s="2013"/>
      <c r="E5" s="2013"/>
    </row>
    <row r="6" spans="1:5" ht="12.75" customHeight="1" x14ac:dyDescent="0.25">
      <c r="A6" s="126"/>
      <c r="B6" s="126"/>
      <c r="C6" s="126"/>
      <c r="D6" s="126"/>
      <c r="E6" s="126"/>
    </row>
    <row r="7" spans="1:5" ht="12.75" customHeight="1" thickBot="1" x14ac:dyDescent="0.25">
      <c r="E7" s="127" t="s">
        <v>70</v>
      </c>
    </row>
    <row r="8" spans="1:5" ht="12.75" customHeight="1" thickBot="1" x14ac:dyDescent="0.25">
      <c r="A8" s="128" t="s">
        <v>71</v>
      </c>
      <c r="B8" s="129" t="s">
        <v>1038</v>
      </c>
      <c r="C8" s="130" t="s">
        <v>987</v>
      </c>
      <c r="D8" s="130" t="s">
        <v>72</v>
      </c>
      <c r="E8" s="131" t="s">
        <v>73</v>
      </c>
    </row>
    <row r="9" spans="1:5" ht="12.75" customHeight="1" x14ac:dyDescent="0.2">
      <c r="A9" s="132" t="s">
        <v>1190</v>
      </c>
      <c r="B9" s="439">
        <v>0</v>
      </c>
      <c r="C9" s="133">
        <v>2813.39</v>
      </c>
      <c r="D9" s="133">
        <v>2813.39</v>
      </c>
      <c r="E9" s="153">
        <f>D9/C9</f>
        <v>1</v>
      </c>
    </row>
    <row r="10" spans="1:5" ht="12.75" customHeight="1" x14ac:dyDescent="0.2">
      <c r="A10" s="151" t="s">
        <v>1150</v>
      </c>
      <c r="B10" s="448">
        <v>2000</v>
      </c>
      <c r="C10" s="152">
        <v>2000</v>
      </c>
      <c r="D10" s="152">
        <v>2000</v>
      </c>
      <c r="E10" s="153">
        <f>D10/C10</f>
        <v>1</v>
      </c>
    </row>
    <row r="11" spans="1:5" ht="12.75" customHeight="1" thickBot="1" x14ac:dyDescent="0.25">
      <c r="A11" s="140" t="s">
        <v>74</v>
      </c>
      <c r="B11" s="141">
        <v>0</v>
      </c>
      <c r="C11" s="142">
        <v>0</v>
      </c>
      <c r="D11" s="142">
        <v>0.17543</v>
      </c>
      <c r="E11" s="176" t="s">
        <v>75</v>
      </c>
    </row>
    <row r="12" spans="1:5" ht="12.75" customHeight="1" thickBot="1" x14ac:dyDescent="0.25">
      <c r="A12" s="144" t="s">
        <v>1191</v>
      </c>
      <c r="B12" s="159">
        <f>SUM(B9:B11)</f>
        <v>2000</v>
      </c>
      <c r="C12" s="174">
        <f>SUM(C9:C11)</f>
        <v>4813.3899999999994</v>
      </c>
      <c r="D12" s="146">
        <f>SUM(D9:D11)</f>
        <v>4813.5654299999997</v>
      </c>
      <c r="E12" s="148">
        <f>D12/C12</f>
        <v>1.0000364462468241</v>
      </c>
    </row>
    <row r="13" spans="1:5" x14ac:dyDescent="0.2">
      <c r="A13" s="73"/>
      <c r="B13" s="149"/>
      <c r="C13" s="149"/>
      <c r="D13" s="149"/>
      <c r="E13" s="75"/>
    </row>
    <row r="14" spans="1:5" x14ac:dyDescent="0.2">
      <c r="A14" s="73"/>
      <c r="B14" s="149"/>
      <c r="C14" s="149"/>
      <c r="D14" s="149"/>
      <c r="E14" s="75"/>
    </row>
    <row r="15" spans="1:5" ht="15.75" x14ac:dyDescent="0.25">
      <c r="A15" s="2013" t="s">
        <v>1188</v>
      </c>
      <c r="B15" s="2013"/>
      <c r="C15" s="2013"/>
      <c r="D15" s="2013"/>
      <c r="E15" s="2013"/>
    </row>
    <row r="16" spans="1:5" ht="12.75" customHeight="1" x14ac:dyDescent="0.25">
      <c r="A16" s="126"/>
      <c r="B16" s="126"/>
      <c r="C16" s="126"/>
      <c r="D16" s="126"/>
      <c r="E16" s="126"/>
    </row>
    <row r="17" spans="1:7" ht="12.75" customHeight="1" thickBot="1" x14ac:dyDescent="0.3">
      <c r="A17" s="126"/>
      <c r="B17" s="126"/>
      <c r="C17" s="126"/>
      <c r="D17" s="126"/>
      <c r="E17" s="127" t="s">
        <v>70</v>
      </c>
    </row>
    <row r="18" spans="1:7" ht="12.75" customHeight="1" thickBot="1" x14ac:dyDescent="0.25">
      <c r="A18" s="128" t="s">
        <v>71</v>
      </c>
      <c r="B18" s="129" t="s">
        <v>1038</v>
      </c>
      <c r="C18" s="130" t="s">
        <v>987</v>
      </c>
      <c r="D18" s="130" t="s">
        <v>72</v>
      </c>
      <c r="E18" s="131" t="s">
        <v>73</v>
      </c>
    </row>
    <row r="19" spans="1:7" ht="12.75" customHeight="1" x14ac:dyDescent="0.2">
      <c r="A19" s="151" t="s">
        <v>245</v>
      </c>
      <c r="B19" s="448">
        <v>2000</v>
      </c>
      <c r="C19" s="152">
        <v>2476.4499999999998</v>
      </c>
      <c r="D19" s="451">
        <v>0</v>
      </c>
      <c r="E19" s="175">
        <f>D19/C19</f>
        <v>0</v>
      </c>
    </row>
    <row r="20" spans="1:7" ht="12.75" customHeight="1" x14ac:dyDescent="0.2">
      <c r="A20" s="151" t="s">
        <v>246</v>
      </c>
      <c r="B20" s="449">
        <v>0</v>
      </c>
      <c r="C20" s="450">
        <f>4831.39-2476.45</f>
        <v>2354.9400000000005</v>
      </c>
      <c r="D20" s="452">
        <v>2336.9409999999998</v>
      </c>
      <c r="E20" s="175">
        <f>D20/C20</f>
        <v>0.99235691779833002</v>
      </c>
    </row>
    <row r="21" spans="1:7" ht="12.75" customHeight="1" x14ac:dyDescent="0.2">
      <c r="A21" s="151" t="s">
        <v>460</v>
      </c>
      <c r="B21" s="448">
        <v>0</v>
      </c>
      <c r="C21" s="152">
        <v>0</v>
      </c>
      <c r="D21" s="451">
        <v>0</v>
      </c>
      <c r="E21" s="176" t="s">
        <v>75</v>
      </c>
    </row>
    <row r="22" spans="1:7" ht="12.75" customHeight="1" thickBot="1" x14ac:dyDescent="0.25">
      <c r="A22" s="151" t="s">
        <v>461</v>
      </c>
      <c r="B22" s="449">
        <v>0</v>
      </c>
      <c r="C22" s="450">
        <v>0</v>
      </c>
      <c r="D22" s="452">
        <v>0</v>
      </c>
      <c r="E22" s="176" t="s">
        <v>75</v>
      </c>
    </row>
    <row r="23" spans="1:7" ht="12.75" customHeight="1" thickBot="1" x14ac:dyDescent="0.25">
      <c r="A23" s="144" t="s">
        <v>1192</v>
      </c>
      <c r="B23" s="159">
        <f>SUM(B19:B22)</f>
        <v>2000</v>
      </c>
      <c r="C23" s="174">
        <f>SUM(C19:C22)</f>
        <v>4831.3900000000003</v>
      </c>
      <c r="D23" s="146">
        <f>SUM(D19:D22)</f>
        <v>2336.9409999999998</v>
      </c>
      <c r="E23" s="148">
        <f>D23/C23</f>
        <v>0.48369951504639447</v>
      </c>
    </row>
    <row r="24" spans="1:7" x14ac:dyDescent="0.2">
      <c r="A24" s="160"/>
      <c r="B24" s="161"/>
      <c r="C24" s="161"/>
      <c r="D24" s="161"/>
      <c r="E24" s="162"/>
    </row>
    <row r="25" spans="1:7" x14ac:dyDescent="0.2">
      <c r="A25" s="160"/>
      <c r="B25" s="161"/>
      <c r="C25" s="161"/>
      <c r="D25" s="161"/>
      <c r="E25" s="162"/>
    </row>
    <row r="26" spans="1:7" ht="15.75" x14ac:dyDescent="0.25">
      <c r="A26" s="2014" t="s">
        <v>1189</v>
      </c>
      <c r="B26" s="2014"/>
      <c r="C26" s="2014"/>
      <c r="D26" s="2014"/>
      <c r="E26" s="2014"/>
    </row>
    <row r="27" spans="1:7" ht="12.75" customHeight="1" x14ac:dyDescent="0.2">
      <c r="A27" s="160"/>
      <c r="B27" s="161"/>
      <c r="C27" s="161"/>
      <c r="D27" s="161"/>
      <c r="E27" s="162"/>
    </row>
    <row r="28" spans="1:7" ht="12.75" customHeight="1" thickBot="1" x14ac:dyDescent="0.25">
      <c r="B28" s="163"/>
      <c r="C28" s="163"/>
      <c r="D28" s="163"/>
      <c r="E28" s="127" t="s">
        <v>70</v>
      </c>
    </row>
    <row r="29" spans="1:7" ht="37.5" customHeight="1" thickBot="1" x14ac:dyDescent="0.25">
      <c r="A29" s="164" t="s">
        <v>76</v>
      </c>
      <c r="B29" s="165" t="s">
        <v>1142</v>
      </c>
      <c r="C29" s="166" t="s">
        <v>1143</v>
      </c>
      <c r="D29" s="167" t="s">
        <v>1193</v>
      </c>
      <c r="E29" s="168" t="s">
        <v>77</v>
      </c>
    </row>
    <row r="30" spans="1:7" ht="12.75" customHeight="1" thickBot="1" x14ac:dyDescent="0.25">
      <c r="A30" s="169" t="s">
        <v>2018</v>
      </c>
      <c r="B30" s="170">
        <f>D12</f>
        <v>4813.5654299999997</v>
      </c>
      <c r="C30" s="171">
        <f>D23</f>
        <v>2336.9409999999998</v>
      </c>
      <c r="D30" s="171">
        <f>+D12-D23</f>
        <v>2476.6244299999998</v>
      </c>
      <c r="E30" s="172" t="s">
        <v>277</v>
      </c>
    </row>
    <row r="31" spans="1:7" x14ac:dyDescent="0.2">
      <c r="E31" s="173"/>
    </row>
    <row r="32" spans="1:7" ht="42" customHeight="1" x14ac:dyDescent="0.2">
      <c r="A32" s="2010" t="s">
        <v>1194</v>
      </c>
      <c r="B32" s="2038"/>
      <c r="C32" s="2038"/>
      <c r="D32" s="2038"/>
      <c r="E32" s="2038"/>
      <c r="G32" s="1743"/>
    </row>
    <row r="33" spans="1:5" ht="12.75" customHeight="1" x14ac:dyDescent="0.2">
      <c r="A33" s="447"/>
      <c r="B33" s="447"/>
      <c r="C33" s="447"/>
      <c r="D33" s="447"/>
      <c r="E33" s="447"/>
    </row>
    <row r="34" spans="1:5" ht="12.75" customHeight="1" x14ac:dyDescent="0.2">
      <c r="A34" s="447"/>
      <c r="B34" s="447"/>
      <c r="C34" s="447"/>
      <c r="D34" s="447"/>
      <c r="E34" s="447"/>
    </row>
    <row r="35" spans="1:5" ht="12.75" customHeight="1" x14ac:dyDescent="0.2">
      <c r="A35" s="455"/>
      <c r="B35" s="455"/>
      <c r="C35" s="455"/>
      <c r="D35" s="455"/>
      <c r="E35" s="455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6:E2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F883-1191-4A5F-803E-96DC4C6EFB96}">
  <sheetPr>
    <tabColor theme="7" tint="0.59999389629810485"/>
  </sheetPr>
  <dimension ref="A1:O101"/>
  <sheetViews>
    <sheetView zoomScaleNormal="100" workbookViewId="0">
      <selection activeCell="K19" sqref="K19"/>
    </sheetView>
  </sheetViews>
  <sheetFormatPr defaultRowHeight="12.75" x14ac:dyDescent="0.2"/>
  <cols>
    <col min="1" max="1" width="4.28515625" style="898" customWidth="1"/>
    <col min="2" max="2" width="6.7109375" style="898" customWidth="1"/>
    <col min="3" max="3" width="27.5703125" style="898" customWidth="1"/>
    <col min="4" max="4" width="4" style="898" bestFit="1" customWidth="1"/>
    <col min="5" max="5" width="4.7109375" style="898" bestFit="1" customWidth="1"/>
    <col min="6" max="6" width="17.42578125" style="899" customWidth="1"/>
    <col min="7" max="7" width="17.28515625" style="898" customWidth="1"/>
    <col min="8" max="8" width="9.7109375" style="898" bestFit="1" customWidth="1"/>
    <col min="9" max="9" width="9.140625" style="898"/>
    <col min="10" max="10" width="16.28515625" style="898" customWidth="1"/>
    <col min="11" max="256" width="9.140625" style="898"/>
    <col min="257" max="257" width="4.28515625" style="898" customWidth="1"/>
    <col min="258" max="258" width="9.140625" style="898"/>
    <col min="259" max="259" width="10.42578125" style="898" customWidth="1"/>
    <col min="260" max="260" width="6.5703125" style="898" bestFit="1" customWidth="1"/>
    <col min="261" max="261" width="4.7109375" style="898" bestFit="1" customWidth="1"/>
    <col min="262" max="262" width="17.42578125" style="898" customWidth="1"/>
    <col min="263" max="263" width="17.28515625" style="898" customWidth="1"/>
    <col min="264" max="264" width="16.28515625" style="898" customWidth="1"/>
    <col min="265" max="265" width="9.140625" style="898"/>
    <col min="266" max="266" width="16.28515625" style="898" customWidth="1"/>
    <col min="267" max="512" width="9.140625" style="898"/>
    <col min="513" max="513" width="4.28515625" style="898" customWidth="1"/>
    <col min="514" max="514" width="9.140625" style="898"/>
    <col min="515" max="515" width="10.42578125" style="898" customWidth="1"/>
    <col min="516" max="516" width="6.5703125" style="898" bestFit="1" customWidth="1"/>
    <col min="517" max="517" width="4.7109375" style="898" bestFit="1" customWidth="1"/>
    <col min="518" max="518" width="17.42578125" style="898" customWidth="1"/>
    <col min="519" max="519" width="17.28515625" style="898" customWidth="1"/>
    <col min="520" max="520" width="16.28515625" style="898" customWidth="1"/>
    <col min="521" max="521" width="9.140625" style="898"/>
    <col min="522" max="522" width="16.28515625" style="898" customWidth="1"/>
    <col min="523" max="768" width="9.140625" style="898"/>
    <col min="769" max="769" width="4.28515625" style="898" customWidth="1"/>
    <col min="770" max="770" width="9.140625" style="898"/>
    <col min="771" max="771" width="10.42578125" style="898" customWidth="1"/>
    <col min="772" max="772" width="6.5703125" style="898" bestFit="1" customWidth="1"/>
    <col min="773" max="773" width="4.7109375" style="898" bestFit="1" customWidth="1"/>
    <col min="774" max="774" width="17.42578125" style="898" customWidth="1"/>
    <col min="775" max="775" width="17.28515625" style="898" customWidth="1"/>
    <col min="776" max="776" width="16.28515625" style="898" customWidth="1"/>
    <col min="777" max="777" width="9.140625" style="898"/>
    <col min="778" max="778" width="16.28515625" style="898" customWidth="1"/>
    <col min="779" max="1024" width="9.140625" style="898"/>
    <col min="1025" max="1025" width="4.28515625" style="898" customWidth="1"/>
    <col min="1026" max="1026" width="9.140625" style="898"/>
    <col min="1027" max="1027" width="10.42578125" style="898" customWidth="1"/>
    <col min="1028" max="1028" width="6.5703125" style="898" bestFit="1" customWidth="1"/>
    <col min="1029" max="1029" width="4.7109375" style="898" bestFit="1" customWidth="1"/>
    <col min="1030" max="1030" width="17.42578125" style="898" customWidth="1"/>
    <col min="1031" max="1031" width="17.28515625" style="898" customWidth="1"/>
    <col min="1032" max="1032" width="16.28515625" style="898" customWidth="1"/>
    <col min="1033" max="1033" width="9.140625" style="898"/>
    <col min="1034" max="1034" width="16.28515625" style="898" customWidth="1"/>
    <col min="1035" max="1280" width="9.140625" style="898"/>
    <col min="1281" max="1281" width="4.28515625" style="898" customWidth="1"/>
    <col min="1282" max="1282" width="9.140625" style="898"/>
    <col min="1283" max="1283" width="10.42578125" style="898" customWidth="1"/>
    <col min="1284" max="1284" width="6.5703125" style="898" bestFit="1" customWidth="1"/>
    <col min="1285" max="1285" width="4.7109375" style="898" bestFit="1" customWidth="1"/>
    <col min="1286" max="1286" width="17.42578125" style="898" customWidth="1"/>
    <col min="1287" max="1287" width="17.28515625" style="898" customWidth="1"/>
    <col min="1288" max="1288" width="16.28515625" style="898" customWidth="1"/>
    <col min="1289" max="1289" width="9.140625" style="898"/>
    <col min="1290" max="1290" width="16.28515625" style="898" customWidth="1"/>
    <col min="1291" max="1536" width="9.140625" style="898"/>
    <col min="1537" max="1537" width="4.28515625" style="898" customWidth="1"/>
    <col min="1538" max="1538" width="9.140625" style="898"/>
    <col min="1539" max="1539" width="10.42578125" style="898" customWidth="1"/>
    <col min="1540" max="1540" width="6.5703125" style="898" bestFit="1" customWidth="1"/>
    <col min="1541" max="1541" width="4.7109375" style="898" bestFit="1" customWidth="1"/>
    <col min="1542" max="1542" width="17.42578125" style="898" customWidth="1"/>
    <col min="1543" max="1543" width="17.28515625" style="898" customWidth="1"/>
    <col min="1544" max="1544" width="16.28515625" style="898" customWidth="1"/>
    <col min="1545" max="1545" width="9.140625" style="898"/>
    <col min="1546" max="1546" width="16.28515625" style="898" customWidth="1"/>
    <col min="1547" max="1792" width="9.140625" style="898"/>
    <col min="1793" max="1793" width="4.28515625" style="898" customWidth="1"/>
    <col min="1794" max="1794" width="9.140625" style="898"/>
    <col min="1795" max="1795" width="10.42578125" style="898" customWidth="1"/>
    <col min="1796" max="1796" width="6.5703125" style="898" bestFit="1" customWidth="1"/>
    <col min="1797" max="1797" width="4.7109375" style="898" bestFit="1" customWidth="1"/>
    <col min="1798" max="1798" width="17.42578125" style="898" customWidth="1"/>
    <col min="1799" max="1799" width="17.28515625" style="898" customWidth="1"/>
    <col min="1800" max="1800" width="16.28515625" style="898" customWidth="1"/>
    <col min="1801" max="1801" width="9.140625" style="898"/>
    <col min="1802" max="1802" width="16.28515625" style="898" customWidth="1"/>
    <col min="1803" max="2048" width="9.140625" style="898"/>
    <col min="2049" max="2049" width="4.28515625" style="898" customWidth="1"/>
    <col min="2050" max="2050" width="9.140625" style="898"/>
    <col min="2051" max="2051" width="10.42578125" style="898" customWidth="1"/>
    <col min="2052" max="2052" width="6.5703125" style="898" bestFit="1" customWidth="1"/>
    <col min="2053" max="2053" width="4.7109375" style="898" bestFit="1" customWidth="1"/>
    <col min="2054" max="2054" width="17.42578125" style="898" customWidth="1"/>
    <col min="2055" max="2055" width="17.28515625" style="898" customWidth="1"/>
    <col min="2056" max="2056" width="16.28515625" style="898" customWidth="1"/>
    <col min="2057" max="2057" width="9.140625" style="898"/>
    <col min="2058" max="2058" width="16.28515625" style="898" customWidth="1"/>
    <col min="2059" max="2304" width="9.140625" style="898"/>
    <col min="2305" max="2305" width="4.28515625" style="898" customWidth="1"/>
    <col min="2306" max="2306" width="9.140625" style="898"/>
    <col min="2307" max="2307" width="10.42578125" style="898" customWidth="1"/>
    <col min="2308" max="2308" width="6.5703125" style="898" bestFit="1" customWidth="1"/>
    <col min="2309" max="2309" width="4.7109375" style="898" bestFit="1" customWidth="1"/>
    <col min="2310" max="2310" width="17.42578125" style="898" customWidth="1"/>
    <col min="2311" max="2311" width="17.28515625" style="898" customWidth="1"/>
    <col min="2312" max="2312" width="16.28515625" style="898" customWidth="1"/>
    <col min="2313" max="2313" width="9.140625" style="898"/>
    <col min="2314" max="2314" width="16.28515625" style="898" customWidth="1"/>
    <col min="2315" max="2560" width="9.140625" style="898"/>
    <col min="2561" max="2561" width="4.28515625" style="898" customWidth="1"/>
    <col min="2562" max="2562" width="9.140625" style="898"/>
    <col min="2563" max="2563" width="10.42578125" style="898" customWidth="1"/>
    <col min="2564" max="2564" width="6.5703125" style="898" bestFit="1" customWidth="1"/>
    <col min="2565" max="2565" width="4.7109375" style="898" bestFit="1" customWidth="1"/>
    <col min="2566" max="2566" width="17.42578125" style="898" customWidth="1"/>
    <col min="2567" max="2567" width="17.28515625" style="898" customWidth="1"/>
    <col min="2568" max="2568" width="16.28515625" style="898" customWidth="1"/>
    <col min="2569" max="2569" width="9.140625" style="898"/>
    <col min="2570" max="2570" width="16.28515625" style="898" customWidth="1"/>
    <col min="2571" max="2816" width="9.140625" style="898"/>
    <col min="2817" max="2817" width="4.28515625" style="898" customWidth="1"/>
    <col min="2818" max="2818" width="9.140625" style="898"/>
    <col min="2819" max="2819" width="10.42578125" style="898" customWidth="1"/>
    <col min="2820" max="2820" width="6.5703125" style="898" bestFit="1" customWidth="1"/>
    <col min="2821" max="2821" width="4.7109375" style="898" bestFit="1" customWidth="1"/>
    <col min="2822" max="2822" width="17.42578125" style="898" customWidth="1"/>
    <col min="2823" max="2823" width="17.28515625" style="898" customWidth="1"/>
    <col min="2824" max="2824" width="16.28515625" style="898" customWidth="1"/>
    <col min="2825" max="2825" width="9.140625" style="898"/>
    <col min="2826" max="2826" width="16.28515625" style="898" customWidth="1"/>
    <col min="2827" max="3072" width="9.140625" style="898"/>
    <col min="3073" max="3073" width="4.28515625" style="898" customWidth="1"/>
    <col min="3074" max="3074" width="9.140625" style="898"/>
    <col min="3075" max="3075" width="10.42578125" style="898" customWidth="1"/>
    <col min="3076" max="3076" width="6.5703125" style="898" bestFit="1" customWidth="1"/>
    <col min="3077" max="3077" width="4.7109375" style="898" bestFit="1" customWidth="1"/>
    <col min="3078" max="3078" width="17.42578125" style="898" customWidth="1"/>
    <col min="3079" max="3079" width="17.28515625" style="898" customWidth="1"/>
    <col min="3080" max="3080" width="16.28515625" style="898" customWidth="1"/>
    <col min="3081" max="3081" width="9.140625" style="898"/>
    <col min="3082" max="3082" width="16.28515625" style="898" customWidth="1"/>
    <col min="3083" max="3328" width="9.140625" style="898"/>
    <col min="3329" max="3329" width="4.28515625" style="898" customWidth="1"/>
    <col min="3330" max="3330" width="9.140625" style="898"/>
    <col min="3331" max="3331" width="10.42578125" style="898" customWidth="1"/>
    <col min="3332" max="3332" width="6.5703125" style="898" bestFit="1" customWidth="1"/>
    <col min="3333" max="3333" width="4.7109375" style="898" bestFit="1" customWidth="1"/>
    <col min="3334" max="3334" width="17.42578125" style="898" customWidth="1"/>
    <col min="3335" max="3335" width="17.28515625" style="898" customWidth="1"/>
    <col min="3336" max="3336" width="16.28515625" style="898" customWidth="1"/>
    <col min="3337" max="3337" width="9.140625" style="898"/>
    <col min="3338" max="3338" width="16.28515625" style="898" customWidth="1"/>
    <col min="3339" max="3584" width="9.140625" style="898"/>
    <col min="3585" max="3585" width="4.28515625" style="898" customWidth="1"/>
    <col min="3586" max="3586" width="9.140625" style="898"/>
    <col min="3587" max="3587" width="10.42578125" style="898" customWidth="1"/>
    <col min="3588" max="3588" width="6.5703125" style="898" bestFit="1" customWidth="1"/>
    <col min="3589" max="3589" width="4.7109375" style="898" bestFit="1" customWidth="1"/>
    <col min="3590" max="3590" width="17.42578125" style="898" customWidth="1"/>
    <col min="3591" max="3591" width="17.28515625" style="898" customWidth="1"/>
    <col min="3592" max="3592" width="16.28515625" style="898" customWidth="1"/>
    <col min="3593" max="3593" width="9.140625" style="898"/>
    <col min="3594" max="3594" width="16.28515625" style="898" customWidth="1"/>
    <col min="3595" max="3840" width="9.140625" style="898"/>
    <col min="3841" max="3841" width="4.28515625" style="898" customWidth="1"/>
    <col min="3842" max="3842" width="9.140625" style="898"/>
    <col min="3843" max="3843" width="10.42578125" style="898" customWidth="1"/>
    <col min="3844" max="3844" width="6.5703125" style="898" bestFit="1" customWidth="1"/>
    <col min="3845" max="3845" width="4.7109375" style="898" bestFit="1" customWidth="1"/>
    <col min="3846" max="3846" width="17.42578125" style="898" customWidth="1"/>
    <col min="3847" max="3847" width="17.28515625" style="898" customWidth="1"/>
    <col min="3848" max="3848" width="16.28515625" style="898" customWidth="1"/>
    <col min="3849" max="3849" width="9.140625" style="898"/>
    <col min="3850" max="3850" width="16.28515625" style="898" customWidth="1"/>
    <col min="3851" max="4096" width="9.140625" style="898"/>
    <col min="4097" max="4097" width="4.28515625" style="898" customWidth="1"/>
    <col min="4098" max="4098" width="9.140625" style="898"/>
    <col min="4099" max="4099" width="10.42578125" style="898" customWidth="1"/>
    <col min="4100" max="4100" width="6.5703125" style="898" bestFit="1" customWidth="1"/>
    <col min="4101" max="4101" width="4.7109375" style="898" bestFit="1" customWidth="1"/>
    <col min="4102" max="4102" width="17.42578125" style="898" customWidth="1"/>
    <col min="4103" max="4103" width="17.28515625" style="898" customWidth="1"/>
    <col min="4104" max="4104" width="16.28515625" style="898" customWidth="1"/>
    <col min="4105" max="4105" width="9.140625" style="898"/>
    <col min="4106" max="4106" width="16.28515625" style="898" customWidth="1"/>
    <col min="4107" max="4352" width="9.140625" style="898"/>
    <col min="4353" max="4353" width="4.28515625" style="898" customWidth="1"/>
    <col min="4354" max="4354" width="9.140625" style="898"/>
    <col min="4355" max="4355" width="10.42578125" style="898" customWidth="1"/>
    <col min="4356" max="4356" width="6.5703125" style="898" bestFit="1" customWidth="1"/>
    <col min="4357" max="4357" width="4.7109375" style="898" bestFit="1" customWidth="1"/>
    <col min="4358" max="4358" width="17.42578125" style="898" customWidth="1"/>
    <col min="4359" max="4359" width="17.28515625" style="898" customWidth="1"/>
    <col min="4360" max="4360" width="16.28515625" style="898" customWidth="1"/>
    <col min="4361" max="4361" width="9.140625" style="898"/>
    <col min="4362" max="4362" width="16.28515625" style="898" customWidth="1"/>
    <col min="4363" max="4608" width="9.140625" style="898"/>
    <col min="4609" max="4609" width="4.28515625" style="898" customWidth="1"/>
    <col min="4610" max="4610" width="9.140625" style="898"/>
    <col min="4611" max="4611" width="10.42578125" style="898" customWidth="1"/>
    <col min="4612" max="4612" width="6.5703125" style="898" bestFit="1" customWidth="1"/>
    <col min="4613" max="4613" width="4.7109375" style="898" bestFit="1" customWidth="1"/>
    <col min="4614" max="4614" width="17.42578125" style="898" customWidth="1"/>
    <col min="4615" max="4615" width="17.28515625" style="898" customWidth="1"/>
    <col min="4616" max="4616" width="16.28515625" style="898" customWidth="1"/>
    <col min="4617" max="4617" width="9.140625" style="898"/>
    <col min="4618" max="4618" width="16.28515625" style="898" customWidth="1"/>
    <col min="4619" max="4864" width="9.140625" style="898"/>
    <col min="4865" max="4865" width="4.28515625" style="898" customWidth="1"/>
    <col min="4866" max="4866" width="9.140625" style="898"/>
    <col min="4867" max="4867" width="10.42578125" style="898" customWidth="1"/>
    <col min="4868" max="4868" width="6.5703125" style="898" bestFit="1" customWidth="1"/>
    <col min="4869" max="4869" width="4.7109375" style="898" bestFit="1" customWidth="1"/>
    <col min="4870" max="4870" width="17.42578125" style="898" customWidth="1"/>
    <col min="4871" max="4871" width="17.28515625" style="898" customWidth="1"/>
    <col min="4872" max="4872" width="16.28515625" style="898" customWidth="1"/>
    <col min="4873" max="4873" width="9.140625" style="898"/>
    <col min="4874" max="4874" width="16.28515625" style="898" customWidth="1"/>
    <col min="4875" max="5120" width="9.140625" style="898"/>
    <col min="5121" max="5121" width="4.28515625" style="898" customWidth="1"/>
    <col min="5122" max="5122" width="9.140625" style="898"/>
    <col min="5123" max="5123" width="10.42578125" style="898" customWidth="1"/>
    <col min="5124" max="5124" width="6.5703125" style="898" bestFit="1" customWidth="1"/>
    <col min="5125" max="5125" width="4.7109375" style="898" bestFit="1" customWidth="1"/>
    <col min="5126" max="5126" width="17.42578125" style="898" customWidth="1"/>
    <col min="5127" max="5127" width="17.28515625" style="898" customWidth="1"/>
    <col min="5128" max="5128" width="16.28515625" style="898" customWidth="1"/>
    <col min="5129" max="5129" width="9.140625" style="898"/>
    <col min="5130" max="5130" width="16.28515625" style="898" customWidth="1"/>
    <col min="5131" max="5376" width="9.140625" style="898"/>
    <col min="5377" max="5377" width="4.28515625" style="898" customWidth="1"/>
    <col min="5378" max="5378" width="9.140625" style="898"/>
    <col min="5379" max="5379" width="10.42578125" style="898" customWidth="1"/>
    <col min="5380" max="5380" width="6.5703125" style="898" bestFit="1" customWidth="1"/>
    <col min="5381" max="5381" width="4.7109375" style="898" bestFit="1" customWidth="1"/>
    <col min="5382" max="5382" width="17.42578125" style="898" customWidth="1"/>
    <col min="5383" max="5383" width="17.28515625" style="898" customWidth="1"/>
    <col min="5384" max="5384" width="16.28515625" style="898" customWidth="1"/>
    <col min="5385" max="5385" width="9.140625" style="898"/>
    <col min="5386" max="5386" width="16.28515625" style="898" customWidth="1"/>
    <col min="5387" max="5632" width="9.140625" style="898"/>
    <col min="5633" max="5633" width="4.28515625" style="898" customWidth="1"/>
    <col min="5634" max="5634" width="9.140625" style="898"/>
    <col min="5635" max="5635" width="10.42578125" style="898" customWidth="1"/>
    <col min="5636" max="5636" width="6.5703125" style="898" bestFit="1" customWidth="1"/>
    <col min="5637" max="5637" width="4.7109375" style="898" bestFit="1" customWidth="1"/>
    <col min="5638" max="5638" width="17.42578125" style="898" customWidth="1"/>
    <col min="5639" max="5639" width="17.28515625" style="898" customWidth="1"/>
    <col min="5640" max="5640" width="16.28515625" style="898" customWidth="1"/>
    <col min="5641" max="5641" width="9.140625" style="898"/>
    <col min="5642" max="5642" width="16.28515625" style="898" customWidth="1"/>
    <col min="5643" max="5888" width="9.140625" style="898"/>
    <col min="5889" max="5889" width="4.28515625" style="898" customWidth="1"/>
    <col min="5890" max="5890" width="9.140625" style="898"/>
    <col min="5891" max="5891" width="10.42578125" style="898" customWidth="1"/>
    <col min="5892" max="5892" width="6.5703125" style="898" bestFit="1" customWidth="1"/>
    <col min="5893" max="5893" width="4.7109375" style="898" bestFit="1" customWidth="1"/>
    <col min="5894" max="5894" width="17.42578125" style="898" customWidth="1"/>
    <col min="5895" max="5895" width="17.28515625" style="898" customWidth="1"/>
    <col min="5896" max="5896" width="16.28515625" style="898" customWidth="1"/>
    <col min="5897" max="5897" width="9.140625" style="898"/>
    <col min="5898" max="5898" width="16.28515625" style="898" customWidth="1"/>
    <col min="5899" max="6144" width="9.140625" style="898"/>
    <col min="6145" max="6145" width="4.28515625" style="898" customWidth="1"/>
    <col min="6146" max="6146" width="9.140625" style="898"/>
    <col min="6147" max="6147" width="10.42578125" style="898" customWidth="1"/>
    <col min="6148" max="6148" width="6.5703125" style="898" bestFit="1" customWidth="1"/>
    <col min="6149" max="6149" width="4.7109375" style="898" bestFit="1" customWidth="1"/>
    <col min="6150" max="6150" width="17.42578125" style="898" customWidth="1"/>
    <col min="6151" max="6151" width="17.28515625" style="898" customWidth="1"/>
    <col min="6152" max="6152" width="16.28515625" style="898" customWidth="1"/>
    <col min="6153" max="6153" width="9.140625" style="898"/>
    <col min="6154" max="6154" width="16.28515625" style="898" customWidth="1"/>
    <col min="6155" max="6400" width="9.140625" style="898"/>
    <col min="6401" max="6401" width="4.28515625" style="898" customWidth="1"/>
    <col min="6402" max="6402" width="9.140625" style="898"/>
    <col min="6403" max="6403" width="10.42578125" style="898" customWidth="1"/>
    <col min="6404" max="6404" width="6.5703125" style="898" bestFit="1" customWidth="1"/>
    <col min="6405" max="6405" width="4.7109375" style="898" bestFit="1" customWidth="1"/>
    <col min="6406" max="6406" width="17.42578125" style="898" customWidth="1"/>
    <col min="6407" max="6407" width="17.28515625" style="898" customWidth="1"/>
    <col min="6408" max="6408" width="16.28515625" style="898" customWidth="1"/>
    <col min="6409" max="6409" width="9.140625" style="898"/>
    <col min="6410" max="6410" width="16.28515625" style="898" customWidth="1"/>
    <col min="6411" max="6656" width="9.140625" style="898"/>
    <col min="6657" max="6657" width="4.28515625" style="898" customWidth="1"/>
    <col min="6658" max="6658" width="9.140625" style="898"/>
    <col min="6659" max="6659" width="10.42578125" style="898" customWidth="1"/>
    <col min="6660" max="6660" width="6.5703125" style="898" bestFit="1" customWidth="1"/>
    <col min="6661" max="6661" width="4.7109375" style="898" bestFit="1" customWidth="1"/>
    <col min="6662" max="6662" width="17.42578125" style="898" customWidth="1"/>
    <col min="6663" max="6663" width="17.28515625" style="898" customWidth="1"/>
    <col min="6664" max="6664" width="16.28515625" style="898" customWidth="1"/>
    <col min="6665" max="6665" width="9.140625" style="898"/>
    <col min="6666" max="6666" width="16.28515625" style="898" customWidth="1"/>
    <col min="6667" max="6912" width="9.140625" style="898"/>
    <col min="6913" max="6913" width="4.28515625" style="898" customWidth="1"/>
    <col min="6914" max="6914" width="9.140625" style="898"/>
    <col min="6915" max="6915" width="10.42578125" style="898" customWidth="1"/>
    <col min="6916" max="6916" width="6.5703125" style="898" bestFit="1" customWidth="1"/>
    <col min="6917" max="6917" width="4.7109375" style="898" bestFit="1" customWidth="1"/>
    <col min="6918" max="6918" width="17.42578125" style="898" customWidth="1"/>
    <col min="6919" max="6919" width="17.28515625" style="898" customWidth="1"/>
    <col min="6920" max="6920" width="16.28515625" style="898" customWidth="1"/>
    <col min="6921" max="6921" width="9.140625" style="898"/>
    <col min="6922" max="6922" width="16.28515625" style="898" customWidth="1"/>
    <col min="6923" max="7168" width="9.140625" style="898"/>
    <col min="7169" max="7169" width="4.28515625" style="898" customWidth="1"/>
    <col min="7170" max="7170" width="9.140625" style="898"/>
    <col min="7171" max="7171" width="10.42578125" style="898" customWidth="1"/>
    <col min="7172" max="7172" width="6.5703125" style="898" bestFit="1" customWidth="1"/>
    <col min="7173" max="7173" width="4.7109375" style="898" bestFit="1" customWidth="1"/>
    <col min="7174" max="7174" width="17.42578125" style="898" customWidth="1"/>
    <col min="7175" max="7175" width="17.28515625" style="898" customWidth="1"/>
    <col min="7176" max="7176" width="16.28515625" style="898" customWidth="1"/>
    <col min="7177" max="7177" width="9.140625" style="898"/>
    <col min="7178" max="7178" width="16.28515625" style="898" customWidth="1"/>
    <col min="7179" max="7424" width="9.140625" style="898"/>
    <col min="7425" max="7425" width="4.28515625" style="898" customWidth="1"/>
    <col min="7426" max="7426" width="9.140625" style="898"/>
    <col min="7427" max="7427" width="10.42578125" style="898" customWidth="1"/>
    <col min="7428" max="7428" width="6.5703125" style="898" bestFit="1" customWidth="1"/>
    <col min="7429" max="7429" width="4.7109375" style="898" bestFit="1" customWidth="1"/>
    <col min="7430" max="7430" width="17.42578125" style="898" customWidth="1"/>
    <col min="7431" max="7431" width="17.28515625" style="898" customWidth="1"/>
    <col min="7432" max="7432" width="16.28515625" style="898" customWidth="1"/>
    <col min="7433" max="7433" width="9.140625" style="898"/>
    <col min="7434" max="7434" width="16.28515625" style="898" customWidth="1"/>
    <col min="7435" max="7680" width="9.140625" style="898"/>
    <col min="7681" max="7681" width="4.28515625" style="898" customWidth="1"/>
    <col min="7682" max="7682" width="9.140625" style="898"/>
    <col min="7683" max="7683" width="10.42578125" style="898" customWidth="1"/>
    <col min="7684" max="7684" width="6.5703125" style="898" bestFit="1" customWidth="1"/>
    <col min="7685" max="7685" width="4.7109375" style="898" bestFit="1" customWidth="1"/>
    <col min="7686" max="7686" width="17.42578125" style="898" customWidth="1"/>
    <col min="7687" max="7687" width="17.28515625" style="898" customWidth="1"/>
    <col min="7688" max="7688" width="16.28515625" style="898" customWidth="1"/>
    <col min="7689" max="7689" width="9.140625" style="898"/>
    <col min="7690" max="7690" width="16.28515625" style="898" customWidth="1"/>
    <col min="7691" max="7936" width="9.140625" style="898"/>
    <col min="7937" max="7937" width="4.28515625" style="898" customWidth="1"/>
    <col min="7938" max="7938" width="9.140625" style="898"/>
    <col min="7939" max="7939" width="10.42578125" style="898" customWidth="1"/>
    <col min="7940" max="7940" width="6.5703125" style="898" bestFit="1" customWidth="1"/>
    <col min="7941" max="7941" width="4.7109375" style="898" bestFit="1" customWidth="1"/>
    <col min="7942" max="7942" width="17.42578125" style="898" customWidth="1"/>
    <col min="7943" max="7943" width="17.28515625" style="898" customWidth="1"/>
    <col min="7944" max="7944" width="16.28515625" style="898" customWidth="1"/>
    <col min="7945" max="7945" width="9.140625" style="898"/>
    <col min="7946" max="7946" width="16.28515625" style="898" customWidth="1"/>
    <col min="7947" max="8192" width="9.140625" style="898"/>
    <col min="8193" max="8193" width="4.28515625" style="898" customWidth="1"/>
    <col min="8194" max="8194" width="9.140625" style="898"/>
    <col min="8195" max="8195" width="10.42578125" style="898" customWidth="1"/>
    <col min="8196" max="8196" width="6.5703125" style="898" bestFit="1" customWidth="1"/>
    <col min="8197" max="8197" width="4.7109375" style="898" bestFit="1" customWidth="1"/>
    <col min="8198" max="8198" width="17.42578125" style="898" customWidth="1"/>
    <col min="8199" max="8199" width="17.28515625" style="898" customWidth="1"/>
    <col min="8200" max="8200" width="16.28515625" style="898" customWidth="1"/>
    <col min="8201" max="8201" width="9.140625" style="898"/>
    <col min="8202" max="8202" width="16.28515625" style="898" customWidth="1"/>
    <col min="8203" max="8448" width="9.140625" style="898"/>
    <col min="8449" max="8449" width="4.28515625" style="898" customWidth="1"/>
    <col min="8450" max="8450" width="9.140625" style="898"/>
    <col min="8451" max="8451" width="10.42578125" style="898" customWidth="1"/>
    <col min="8452" max="8452" width="6.5703125" style="898" bestFit="1" customWidth="1"/>
    <col min="8453" max="8453" width="4.7109375" style="898" bestFit="1" customWidth="1"/>
    <col min="8454" max="8454" width="17.42578125" style="898" customWidth="1"/>
    <col min="8455" max="8455" width="17.28515625" style="898" customWidth="1"/>
    <col min="8456" max="8456" width="16.28515625" style="898" customWidth="1"/>
    <col min="8457" max="8457" width="9.140625" style="898"/>
    <col min="8458" max="8458" width="16.28515625" style="898" customWidth="1"/>
    <col min="8459" max="8704" width="9.140625" style="898"/>
    <col min="8705" max="8705" width="4.28515625" style="898" customWidth="1"/>
    <col min="8706" max="8706" width="9.140625" style="898"/>
    <col min="8707" max="8707" width="10.42578125" style="898" customWidth="1"/>
    <col min="8708" max="8708" width="6.5703125" style="898" bestFit="1" customWidth="1"/>
    <col min="8709" max="8709" width="4.7109375" style="898" bestFit="1" customWidth="1"/>
    <col min="8710" max="8710" width="17.42578125" style="898" customWidth="1"/>
    <col min="8711" max="8711" width="17.28515625" style="898" customWidth="1"/>
    <col min="8712" max="8712" width="16.28515625" style="898" customWidth="1"/>
    <col min="8713" max="8713" width="9.140625" style="898"/>
    <col min="8714" max="8714" width="16.28515625" style="898" customWidth="1"/>
    <col min="8715" max="8960" width="9.140625" style="898"/>
    <col min="8961" max="8961" width="4.28515625" style="898" customWidth="1"/>
    <col min="8962" max="8962" width="9.140625" style="898"/>
    <col min="8963" max="8963" width="10.42578125" style="898" customWidth="1"/>
    <col min="8964" max="8964" width="6.5703125" style="898" bestFit="1" customWidth="1"/>
    <col min="8965" max="8965" width="4.7109375" style="898" bestFit="1" customWidth="1"/>
    <col min="8966" max="8966" width="17.42578125" style="898" customWidth="1"/>
    <col min="8967" max="8967" width="17.28515625" style="898" customWidth="1"/>
    <col min="8968" max="8968" width="16.28515625" style="898" customWidth="1"/>
    <col min="8969" max="8969" width="9.140625" style="898"/>
    <col min="8970" max="8970" width="16.28515625" style="898" customWidth="1"/>
    <col min="8971" max="9216" width="9.140625" style="898"/>
    <col min="9217" max="9217" width="4.28515625" style="898" customWidth="1"/>
    <col min="9218" max="9218" width="9.140625" style="898"/>
    <col min="9219" max="9219" width="10.42578125" style="898" customWidth="1"/>
    <col min="9220" max="9220" width="6.5703125" style="898" bestFit="1" customWidth="1"/>
    <col min="9221" max="9221" width="4.7109375" style="898" bestFit="1" customWidth="1"/>
    <col min="9222" max="9222" width="17.42578125" style="898" customWidth="1"/>
    <col min="9223" max="9223" width="17.28515625" style="898" customWidth="1"/>
    <col min="9224" max="9224" width="16.28515625" style="898" customWidth="1"/>
    <col min="9225" max="9225" width="9.140625" style="898"/>
    <col min="9226" max="9226" width="16.28515625" style="898" customWidth="1"/>
    <col min="9227" max="9472" width="9.140625" style="898"/>
    <col min="9473" max="9473" width="4.28515625" style="898" customWidth="1"/>
    <col min="9474" max="9474" width="9.140625" style="898"/>
    <col min="9475" max="9475" width="10.42578125" style="898" customWidth="1"/>
    <col min="9476" max="9476" width="6.5703125" style="898" bestFit="1" customWidth="1"/>
    <col min="9477" max="9477" width="4.7109375" style="898" bestFit="1" customWidth="1"/>
    <col min="9478" max="9478" width="17.42578125" style="898" customWidth="1"/>
    <col min="9479" max="9479" width="17.28515625" style="898" customWidth="1"/>
    <col min="9480" max="9480" width="16.28515625" style="898" customWidth="1"/>
    <col min="9481" max="9481" width="9.140625" style="898"/>
    <col min="9482" max="9482" width="16.28515625" style="898" customWidth="1"/>
    <col min="9483" max="9728" width="9.140625" style="898"/>
    <col min="9729" max="9729" width="4.28515625" style="898" customWidth="1"/>
    <col min="9730" max="9730" width="9.140625" style="898"/>
    <col min="9731" max="9731" width="10.42578125" style="898" customWidth="1"/>
    <col min="9732" max="9732" width="6.5703125" style="898" bestFit="1" customWidth="1"/>
    <col min="9733" max="9733" width="4.7109375" style="898" bestFit="1" customWidth="1"/>
    <col min="9734" max="9734" width="17.42578125" style="898" customWidth="1"/>
    <col min="9735" max="9735" width="17.28515625" style="898" customWidth="1"/>
    <col min="9736" max="9736" width="16.28515625" style="898" customWidth="1"/>
    <col min="9737" max="9737" width="9.140625" style="898"/>
    <col min="9738" max="9738" width="16.28515625" style="898" customWidth="1"/>
    <col min="9739" max="9984" width="9.140625" style="898"/>
    <col min="9985" max="9985" width="4.28515625" style="898" customWidth="1"/>
    <col min="9986" max="9986" width="9.140625" style="898"/>
    <col min="9987" max="9987" width="10.42578125" style="898" customWidth="1"/>
    <col min="9988" max="9988" width="6.5703125" style="898" bestFit="1" customWidth="1"/>
    <col min="9989" max="9989" width="4.7109375" style="898" bestFit="1" customWidth="1"/>
    <col min="9990" max="9990" width="17.42578125" style="898" customWidth="1"/>
    <col min="9991" max="9991" width="17.28515625" style="898" customWidth="1"/>
    <col min="9992" max="9992" width="16.28515625" style="898" customWidth="1"/>
    <col min="9993" max="9993" width="9.140625" style="898"/>
    <col min="9994" max="9994" width="16.28515625" style="898" customWidth="1"/>
    <col min="9995" max="10240" width="9.140625" style="898"/>
    <col min="10241" max="10241" width="4.28515625" style="898" customWidth="1"/>
    <col min="10242" max="10242" width="9.140625" style="898"/>
    <col min="10243" max="10243" width="10.42578125" style="898" customWidth="1"/>
    <col min="10244" max="10244" width="6.5703125" style="898" bestFit="1" customWidth="1"/>
    <col min="10245" max="10245" width="4.7109375" style="898" bestFit="1" customWidth="1"/>
    <col min="10246" max="10246" width="17.42578125" style="898" customWidth="1"/>
    <col min="10247" max="10247" width="17.28515625" style="898" customWidth="1"/>
    <col min="10248" max="10248" width="16.28515625" style="898" customWidth="1"/>
    <col min="10249" max="10249" width="9.140625" style="898"/>
    <col min="10250" max="10250" width="16.28515625" style="898" customWidth="1"/>
    <col min="10251" max="10496" width="9.140625" style="898"/>
    <col min="10497" max="10497" width="4.28515625" style="898" customWidth="1"/>
    <col min="10498" max="10498" width="9.140625" style="898"/>
    <col min="10499" max="10499" width="10.42578125" style="898" customWidth="1"/>
    <col min="10500" max="10500" width="6.5703125" style="898" bestFit="1" customWidth="1"/>
    <col min="10501" max="10501" width="4.7109375" style="898" bestFit="1" customWidth="1"/>
    <col min="10502" max="10502" width="17.42578125" style="898" customWidth="1"/>
    <col min="10503" max="10503" width="17.28515625" style="898" customWidth="1"/>
    <col min="10504" max="10504" width="16.28515625" style="898" customWidth="1"/>
    <col min="10505" max="10505" width="9.140625" style="898"/>
    <col min="10506" max="10506" width="16.28515625" style="898" customWidth="1"/>
    <col min="10507" max="10752" width="9.140625" style="898"/>
    <col min="10753" max="10753" width="4.28515625" style="898" customWidth="1"/>
    <col min="10754" max="10754" width="9.140625" style="898"/>
    <col min="10755" max="10755" width="10.42578125" style="898" customWidth="1"/>
    <col min="10756" max="10756" width="6.5703125" style="898" bestFit="1" customWidth="1"/>
    <col min="10757" max="10757" width="4.7109375" style="898" bestFit="1" customWidth="1"/>
    <col min="10758" max="10758" width="17.42578125" style="898" customWidth="1"/>
    <col min="10759" max="10759" width="17.28515625" style="898" customWidth="1"/>
    <col min="10760" max="10760" width="16.28515625" style="898" customWidth="1"/>
    <col min="10761" max="10761" width="9.140625" style="898"/>
    <col min="10762" max="10762" width="16.28515625" style="898" customWidth="1"/>
    <col min="10763" max="11008" width="9.140625" style="898"/>
    <col min="11009" max="11009" width="4.28515625" style="898" customWidth="1"/>
    <col min="11010" max="11010" width="9.140625" style="898"/>
    <col min="11011" max="11011" width="10.42578125" style="898" customWidth="1"/>
    <col min="11012" max="11012" width="6.5703125" style="898" bestFit="1" customWidth="1"/>
    <col min="11013" max="11013" width="4.7109375" style="898" bestFit="1" customWidth="1"/>
    <col min="11014" max="11014" width="17.42578125" style="898" customWidth="1"/>
    <col min="11015" max="11015" width="17.28515625" style="898" customWidth="1"/>
    <col min="11016" max="11016" width="16.28515625" style="898" customWidth="1"/>
    <col min="11017" max="11017" width="9.140625" style="898"/>
    <col min="11018" max="11018" width="16.28515625" style="898" customWidth="1"/>
    <col min="11019" max="11264" width="9.140625" style="898"/>
    <col min="11265" max="11265" width="4.28515625" style="898" customWidth="1"/>
    <col min="11266" max="11266" width="9.140625" style="898"/>
    <col min="11267" max="11267" width="10.42578125" style="898" customWidth="1"/>
    <col min="11268" max="11268" width="6.5703125" style="898" bestFit="1" customWidth="1"/>
    <col min="11269" max="11269" width="4.7109375" style="898" bestFit="1" customWidth="1"/>
    <col min="11270" max="11270" width="17.42578125" style="898" customWidth="1"/>
    <col min="11271" max="11271" width="17.28515625" style="898" customWidth="1"/>
    <col min="11272" max="11272" width="16.28515625" style="898" customWidth="1"/>
    <col min="11273" max="11273" width="9.140625" style="898"/>
    <col min="11274" max="11274" width="16.28515625" style="898" customWidth="1"/>
    <col min="11275" max="11520" width="9.140625" style="898"/>
    <col min="11521" max="11521" width="4.28515625" style="898" customWidth="1"/>
    <col min="11522" max="11522" width="9.140625" style="898"/>
    <col min="11523" max="11523" width="10.42578125" style="898" customWidth="1"/>
    <col min="11524" max="11524" width="6.5703125" style="898" bestFit="1" customWidth="1"/>
    <col min="11525" max="11525" width="4.7109375" style="898" bestFit="1" customWidth="1"/>
    <col min="11526" max="11526" width="17.42578125" style="898" customWidth="1"/>
    <col min="11527" max="11527" width="17.28515625" style="898" customWidth="1"/>
    <col min="11528" max="11528" width="16.28515625" style="898" customWidth="1"/>
    <col min="11529" max="11529" width="9.140625" style="898"/>
    <col min="11530" max="11530" width="16.28515625" style="898" customWidth="1"/>
    <col min="11531" max="11776" width="9.140625" style="898"/>
    <col min="11777" max="11777" width="4.28515625" style="898" customWidth="1"/>
    <col min="11778" max="11778" width="9.140625" style="898"/>
    <col min="11779" max="11779" width="10.42578125" style="898" customWidth="1"/>
    <col min="11780" max="11780" width="6.5703125" style="898" bestFit="1" customWidth="1"/>
    <col min="11781" max="11781" width="4.7109375" style="898" bestFit="1" customWidth="1"/>
    <col min="11782" max="11782" width="17.42578125" style="898" customWidth="1"/>
    <col min="11783" max="11783" width="17.28515625" style="898" customWidth="1"/>
    <col min="11784" max="11784" width="16.28515625" style="898" customWidth="1"/>
    <col min="11785" max="11785" width="9.140625" style="898"/>
    <col min="11786" max="11786" width="16.28515625" style="898" customWidth="1"/>
    <col min="11787" max="12032" width="9.140625" style="898"/>
    <col min="12033" max="12033" width="4.28515625" style="898" customWidth="1"/>
    <col min="12034" max="12034" width="9.140625" style="898"/>
    <col min="12035" max="12035" width="10.42578125" style="898" customWidth="1"/>
    <col min="12036" max="12036" width="6.5703125" style="898" bestFit="1" customWidth="1"/>
    <col min="12037" max="12037" width="4.7109375" style="898" bestFit="1" customWidth="1"/>
    <col min="12038" max="12038" width="17.42578125" style="898" customWidth="1"/>
    <col min="12039" max="12039" width="17.28515625" style="898" customWidth="1"/>
    <col min="12040" max="12040" width="16.28515625" style="898" customWidth="1"/>
    <col min="12041" max="12041" width="9.140625" style="898"/>
    <col min="12042" max="12042" width="16.28515625" style="898" customWidth="1"/>
    <col min="12043" max="12288" width="9.140625" style="898"/>
    <col min="12289" max="12289" width="4.28515625" style="898" customWidth="1"/>
    <col min="12290" max="12290" width="9.140625" style="898"/>
    <col min="12291" max="12291" width="10.42578125" style="898" customWidth="1"/>
    <col min="12292" max="12292" width="6.5703125" style="898" bestFit="1" customWidth="1"/>
    <col min="12293" max="12293" width="4.7109375" style="898" bestFit="1" customWidth="1"/>
    <col min="12294" max="12294" width="17.42578125" style="898" customWidth="1"/>
    <col min="12295" max="12295" width="17.28515625" style="898" customWidth="1"/>
    <col min="12296" max="12296" width="16.28515625" style="898" customWidth="1"/>
    <col min="12297" max="12297" width="9.140625" style="898"/>
    <col min="12298" max="12298" width="16.28515625" style="898" customWidth="1"/>
    <col min="12299" max="12544" width="9.140625" style="898"/>
    <col min="12545" max="12545" width="4.28515625" style="898" customWidth="1"/>
    <col min="12546" max="12546" width="9.140625" style="898"/>
    <col min="12547" max="12547" width="10.42578125" style="898" customWidth="1"/>
    <col min="12548" max="12548" width="6.5703125" style="898" bestFit="1" customWidth="1"/>
    <col min="12549" max="12549" width="4.7109375" style="898" bestFit="1" customWidth="1"/>
    <col min="12550" max="12550" width="17.42578125" style="898" customWidth="1"/>
    <col min="12551" max="12551" width="17.28515625" style="898" customWidth="1"/>
    <col min="12552" max="12552" width="16.28515625" style="898" customWidth="1"/>
    <col min="12553" max="12553" width="9.140625" style="898"/>
    <col min="12554" max="12554" width="16.28515625" style="898" customWidth="1"/>
    <col min="12555" max="12800" width="9.140625" style="898"/>
    <col min="12801" max="12801" width="4.28515625" style="898" customWidth="1"/>
    <col min="12802" max="12802" width="9.140625" style="898"/>
    <col min="12803" max="12803" width="10.42578125" style="898" customWidth="1"/>
    <col min="12804" max="12804" width="6.5703125" style="898" bestFit="1" customWidth="1"/>
    <col min="12805" max="12805" width="4.7109375" style="898" bestFit="1" customWidth="1"/>
    <col min="12806" max="12806" width="17.42578125" style="898" customWidth="1"/>
    <col min="12807" max="12807" width="17.28515625" style="898" customWidth="1"/>
    <col min="12808" max="12808" width="16.28515625" style="898" customWidth="1"/>
    <col min="12809" max="12809" width="9.140625" style="898"/>
    <col min="12810" max="12810" width="16.28515625" style="898" customWidth="1"/>
    <col min="12811" max="13056" width="9.140625" style="898"/>
    <col min="13057" max="13057" width="4.28515625" style="898" customWidth="1"/>
    <col min="13058" max="13058" width="9.140625" style="898"/>
    <col min="13059" max="13059" width="10.42578125" style="898" customWidth="1"/>
    <col min="13060" max="13060" width="6.5703125" style="898" bestFit="1" customWidth="1"/>
    <col min="13061" max="13061" width="4.7109375" style="898" bestFit="1" customWidth="1"/>
    <col min="13062" max="13062" width="17.42578125" style="898" customWidth="1"/>
    <col min="13063" max="13063" width="17.28515625" style="898" customWidth="1"/>
    <col min="13064" max="13064" width="16.28515625" style="898" customWidth="1"/>
    <col min="13065" max="13065" width="9.140625" style="898"/>
    <col min="13066" max="13066" width="16.28515625" style="898" customWidth="1"/>
    <col min="13067" max="13312" width="9.140625" style="898"/>
    <col min="13313" max="13313" width="4.28515625" style="898" customWidth="1"/>
    <col min="13314" max="13314" width="9.140625" style="898"/>
    <col min="13315" max="13315" width="10.42578125" style="898" customWidth="1"/>
    <col min="13316" max="13316" width="6.5703125" style="898" bestFit="1" customWidth="1"/>
    <col min="13317" max="13317" width="4.7109375" style="898" bestFit="1" customWidth="1"/>
    <col min="13318" max="13318" width="17.42578125" style="898" customWidth="1"/>
    <col min="13319" max="13319" width="17.28515625" style="898" customWidth="1"/>
    <col min="13320" max="13320" width="16.28515625" style="898" customWidth="1"/>
    <col min="13321" max="13321" width="9.140625" style="898"/>
    <col min="13322" max="13322" width="16.28515625" style="898" customWidth="1"/>
    <col min="13323" max="13568" width="9.140625" style="898"/>
    <col min="13569" max="13569" width="4.28515625" style="898" customWidth="1"/>
    <col min="13570" max="13570" width="9.140625" style="898"/>
    <col min="13571" max="13571" width="10.42578125" style="898" customWidth="1"/>
    <col min="13572" max="13572" width="6.5703125" style="898" bestFit="1" customWidth="1"/>
    <col min="13573" max="13573" width="4.7109375" style="898" bestFit="1" customWidth="1"/>
    <col min="13574" max="13574" width="17.42578125" style="898" customWidth="1"/>
    <col min="13575" max="13575" width="17.28515625" style="898" customWidth="1"/>
    <col min="13576" max="13576" width="16.28515625" style="898" customWidth="1"/>
    <col min="13577" max="13577" width="9.140625" style="898"/>
    <col min="13578" max="13578" width="16.28515625" style="898" customWidth="1"/>
    <col min="13579" max="13824" width="9.140625" style="898"/>
    <col min="13825" max="13825" width="4.28515625" style="898" customWidth="1"/>
    <col min="13826" max="13826" width="9.140625" style="898"/>
    <col min="13827" max="13827" width="10.42578125" style="898" customWidth="1"/>
    <col min="13828" max="13828" width="6.5703125" style="898" bestFit="1" customWidth="1"/>
    <col min="13829" max="13829" width="4.7109375" style="898" bestFit="1" customWidth="1"/>
    <col min="13830" max="13830" width="17.42578125" style="898" customWidth="1"/>
    <col min="13831" max="13831" width="17.28515625" style="898" customWidth="1"/>
    <col min="13832" max="13832" width="16.28515625" style="898" customWidth="1"/>
    <col min="13833" max="13833" width="9.140625" style="898"/>
    <col min="13834" max="13834" width="16.28515625" style="898" customWidth="1"/>
    <col min="13835" max="14080" width="9.140625" style="898"/>
    <col min="14081" max="14081" width="4.28515625" style="898" customWidth="1"/>
    <col min="14082" max="14082" width="9.140625" style="898"/>
    <col min="14083" max="14083" width="10.42578125" style="898" customWidth="1"/>
    <col min="14084" max="14084" width="6.5703125" style="898" bestFit="1" customWidth="1"/>
    <col min="14085" max="14085" width="4.7109375" style="898" bestFit="1" customWidth="1"/>
    <col min="14086" max="14086" width="17.42578125" style="898" customWidth="1"/>
    <col min="14087" max="14087" width="17.28515625" style="898" customWidth="1"/>
    <col min="14088" max="14088" width="16.28515625" style="898" customWidth="1"/>
    <col min="14089" max="14089" width="9.140625" style="898"/>
    <col min="14090" max="14090" width="16.28515625" style="898" customWidth="1"/>
    <col min="14091" max="14336" width="9.140625" style="898"/>
    <col min="14337" max="14337" width="4.28515625" style="898" customWidth="1"/>
    <col min="14338" max="14338" width="9.140625" style="898"/>
    <col min="14339" max="14339" width="10.42578125" style="898" customWidth="1"/>
    <col min="14340" max="14340" width="6.5703125" style="898" bestFit="1" customWidth="1"/>
    <col min="14341" max="14341" width="4.7109375" style="898" bestFit="1" customWidth="1"/>
    <col min="14342" max="14342" width="17.42578125" style="898" customWidth="1"/>
    <col min="14343" max="14343" width="17.28515625" style="898" customWidth="1"/>
    <col min="14344" max="14344" width="16.28515625" style="898" customWidth="1"/>
    <col min="14345" max="14345" width="9.140625" style="898"/>
    <col min="14346" max="14346" width="16.28515625" style="898" customWidth="1"/>
    <col min="14347" max="14592" width="9.140625" style="898"/>
    <col min="14593" max="14593" width="4.28515625" style="898" customWidth="1"/>
    <col min="14594" max="14594" width="9.140625" style="898"/>
    <col min="14595" max="14595" width="10.42578125" style="898" customWidth="1"/>
    <col min="14596" max="14596" width="6.5703125" style="898" bestFit="1" customWidth="1"/>
    <col min="14597" max="14597" width="4.7109375" style="898" bestFit="1" customWidth="1"/>
    <col min="14598" max="14598" width="17.42578125" style="898" customWidth="1"/>
    <col min="14599" max="14599" width="17.28515625" style="898" customWidth="1"/>
    <col min="14600" max="14600" width="16.28515625" style="898" customWidth="1"/>
    <col min="14601" max="14601" width="9.140625" style="898"/>
    <col min="14602" max="14602" width="16.28515625" style="898" customWidth="1"/>
    <col min="14603" max="14848" width="9.140625" style="898"/>
    <col min="14849" max="14849" width="4.28515625" style="898" customWidth="1"/>
    <col min="14850" max="14850" width="9.140625" style="898"/>
    <col min="14851" max="14851" width="10.42578125" style="898" customWidth="1"/>
    <col min="14852" max="14852" width="6.5703125" style="898" bestFit="1" customWidth="1"/>
    <col min="14853" max="14853" width="4.7109375" style="898" bestFit="1" customWidth="1"/>
    <col min="14854" max="14854" width="17.42578125" style="898" customWidth="1"/>
    <col min="14855" max="14855" width="17.28515625" style="898" customWidth="1"/>
    <col min="14856" max="14856" width="16.28515625" style="898" customWidth="1"/>
    <col min="14857" max="14857" width="9.140625" style="898"/>
    <col min="14858" max="14858" width="16.28515625" style="898" customWidth="1"/>
    <col min="14859" max="15104" width="9.140625" style="898"/>
    <col min="15105" max="15105" width="4.28515625" style="898" customWidth="1"/>
    <col min="15106" max="15106" width="9.140625" style="898"/>
    <col min="15107" max="15107" width="10.42578125" style="898" customWidth="1"/>
    <col min="15108" max="15108" width="6.5703125" style="898" bestFit="1" customWidth="1"/>
    <col min="15109" max="15109" width="4.7109375" style="898" bestFit="1" customWidth="1"/>
    <col min="15110" max="15110" width="17.42578125" style="898" customWidth="1"/>
    <col min="15111" max="15111" width="17.28515625" style="898" customWidth="1"/>
    <col min="15112" max="15112" width="16.28515625" style="898" customWidth="1"/>
    <col min="15113" max="15113" width="9.140625" style="898"/>
    <col min="15114" max="15114" width="16.28515625" style="898" customWidth="1"/>
    <col min="15115" max="15360" width="9.140625" style="898"/>
    <col min="15361" max="15361" width="4.28515625" style="898" customWidth="1"/>
    <col min="15362" max="15362" width="9.140625" style="898"/>
    <col min="15363" max="15363" width="10.42578125" style="898" customWidth="1"/>
    <col min="15364" max="15364" width="6.5703125" style="898" bestFit="1" customWidth="1"/>
    <col min="15365" max="15365" width="4.7109375" style="898" bestFit="1" customWidth="1"/>
    <col min="15366" max="15366" width="17.42578125" style="898" customWidth="1"/>
    <col min="15367" max="15367" width="17.28515625" style="898" customWidth="1"/>
    <col min="15368" max="15368" width="16.28515625" style="898" customWidth="1"/>
    <col min="15369" max="15369" width="9.140625" style="898"/>
    <col min="15370" max="15370" width="16.28515625" style="898" customWidth="1"/>
    <col min="15371" max="15616" width="9.140625" style="898"/>
    <col min="15617" max="15617" width="4.28515625" style="898" customWidth="1"/>
    <col min="15618" max="15618" width="9.140625" style="898"/>
    <col min="15619" max="15619" width="10.42578125" style="898" customWidth="1"/>
    <col min="15620" max="15620" width="6.5703125" style="898" bestFit="1" customWidth="1"/>
    <col min="15621" max="15621" width="4.7109375" style="898" bestFit="1" customWidth="1"/>
    <col min="15622" max="15622" width="17.42578125" style="898" customWidth="1"/>
    <col min="15623" max="15623" width="17.28515625" style="898" customWidth="1"/>
    <col min="15624" max="15624" width="16.28515625" style="898" customWidth="1"/>
    <col min="15625" max="15625" width="9.140625" style="898"/>
    <col min="15626" max="15626" width="16.28515625" style="898" customWidth="1"/>
    <col min="15627" max="15872" width="9.140625" style="898"/>
    <col min="15873" max="15873" width="4.28515625" style="898" customWidth="1"/>
    <col min="15874" max="15874" width="9.140625" style="898"/>
    <col min="15875" max="15875" width="10.42578125" style="898" customWidth="1"/>
    <col min="15876" max="15876" width="6.5703125" style="898" bestFit="1" customWidth="1"/>
    <col min="15877" max="15877" width="4.7109375" style="898" bestFit="1" customWidth="1"/>
    <col min="15878" max="15878" width="17.42578125" style="898" customWidth="1"/>
    <col min="15879" max="15879" width="17.28515625" style="898" customWidth="1"/>
    <col min="15880" max="15880" width="16.28515625" style="898" customWidth="1"/>
    <col min="15881" max="15881" width="9.140625" style="898"/>
    <col min="15882" max="15882" width="16.28515625" style="898" customWidth="1"/>
    <col min="15883" max="16128" width="9.140625" style="898"/>
    <col min="16129" max="16129" width="4.28515625" style="898" customWidth="1"/>
    <col min="16130" max="16130" width="9.140625" style="898"/>
    <col min="16131" max="16131" width="10.42578125" style="898" customWidth="1"/>
    <col min="16132" max="16132" width="6.5703125" style="898" bestFit="1" customWidth="1"/>
    <col min="16133" max="16133" width="4.7109375" style="898" bestFit="1" customWidth="1"/>
    <col min="16134" max="16134" width="17.42578125" style="898" customWidth="1"/>
    <col min="16135" max="16135" width="17.28515625" style="898" customWidth="1"/>
    <col min="16136" max="16136" width="16.28515625" style="898" customWidth="1"/>
    <col min="16137" max="16137" width="9.140625" style="898"/>
    <col min="16138" max="16138" width="16.28515625" style="898" customWidth="1"/>
    <col min="16139" max="16384" width="9.140625" style="898"/>
  </cols>
  <sheetData>
    <row r="1" spans="1:8" ht="15" x14ac:dyDescent="0.25">
      <c r="A1"/>
      <c r="B1"/>
      <c r="C1"/>
      <c r="D1"/>
      <c r="E1"/>
      <c r="F1" s="640"/>
      <c r="G1"/>
      <c r="H1" s="933" t="s">
        <v>809</v>
      </c>
    </row>
    <row r="2" spans="1:8" ht="7.5" customHeight="1" x14ac:dyDescent="0.2">
      <c r="A2"/>
      <c r="B2"/>
      <c r="C2"/>
      <c r="D2"/>
      <c r="E2"/>
      <c r="F2" s="640"/>
      <c r="G2" s="641"/>
      <c r="H2" s="641"/>
    </row>
    <row r="3" spans="1:8" ht="33" customHeight="1" x14ac:dyDescent="0.2">
      <c r="A3" s="2041" t="s">
        <v>1099</v>
      </c>
      <c r="B3" s="2041"/>
      <c r="C3" s="2041"/>
      <c r="D3" s="2041"/>
      <c r="E3" s="2041"/>
      <c r="F3" s="2041"/>
      <c r="G3" s="2041"/>
      <c r="H3" s="2041"/>
    </row>
    <row r="4" spans="1:8" ht="7.5" customHeight="1" thickBot="1" x14ac:dyDescent="0.25">
      <c r="A4" s="900"/>
      <c r="B4" s="900"/>
      <c r="C4" s="900"/>
      <c r="D4" s="900"/>
      <c r="E4" s="900"/>
      <c r="F4" s="901"/>
      <c r="G4" s="900"/>
      <c r="H4" s="900"/>
    </row>
    <row r="5" spans="1:8" ht="15" customHeight="1" thickBot="1" x14ac:dyDescent="0.25">
      <c r="A5" s="902" t="s">
        <v>686</v>
      </c>
      <c r="B5" s="2042" t="s">
        <v>131</v>
      </c>
      <c r="C5" s="2043"/>
      <c r="D5" s="903" t="s">
        <v>113</v>
      </c>
      <c r="E5" s="904" t="s">
        <v>729</v>
      </c>
      <c r="F5" s="905" t="s">
        <v>687</v>
      </c>
      <c r="G5" s="903" t="s">
        <v>688</v>
      </c>
      <c r="H5" s="906" t="s">
        <v>689</v>
      </c>
    </row>
    <row r="6" spans="1:8" s="912" customFormat="1" ht="13.5" thickTop="1" x14ac:dyDescent="0.2">
      <c r="A6" s="907">
        <v>1</v>
      </c>
      <c r="B6" s="2044" t="s">
        <v>121</v>
      </c>
      <c r="C6" s="2045"/>
      <c r="D6" s="908" t="s">
        <v>133</v>
      </c>
      <c r="E6" s="909" t="s">
        <v>122</v>
      </c>
      <c r="F6" s="910">
        <v>126643734.51000001</v>
      </c>
      <c r="G6" s="910">
        <v>126643734.51000001</v>
      </c>
      <c r="H6" s="911">
        <f>F6-G6</f>
        <v>0</v>
      </c>
    </row>
    <row r="7" spans="1:8" s="912" customFormat="1" x14ac:dyDescent="0.2">
      <c r="A7" s="913">
        <v>2</v>
      </c>
      <c r="B7" s="2039" t="s">
        <v>134</v>
      </c>
      <c r="C7" s="2040"/>
      <c r="D7" s="908" t="s">
        <v>135</v>
      </c>
      <c r="E7" s="909" t="s">
        <v>122</v>
      </c>
      <c r="F7" s="910">
        <v>80000</v>
      </c>
      <c r="G7" s="910">
        <v>80000</v>
      </c>
      <c r="H7" s="911">
        <f t="shared" ref="H7:H90" si="0">F7-G7</f>
        <v>0</v>
      </c>
    </row>
    <row r="8" spans="1:8" s="912" customFormat="1" x14ac:dyDescent="0.2">
      <c r="A8" s="907">
        <v>3</v>
      </c>
      <c r="B8" s="2039" t="s">
        <v>286</v>
      </c>
      <c r="C8" s="2040"/>
      <c r="D8" s="914" t="s">
        <v>136</v>
      </c>
      <c r="E8" s="909" t="s">
        <v>122</v>
      </c>
      <c r="F8" s="910">
        <v>887295.48</v>
      </c>
      <c r="G8" s="910">
        <v>887295.48</v>
      </c>
      <c r="H8" s="911">
        <f t="shared" si="0"/>
        <v>0</v>
      </c>
    </row>
    <row r="9" spans="1:8" s="912" customFormat="1" x14ac:dyDescent="0.2">
      <c r="A9" s="907">
        <v>4</v>
      </c>
      <c r="B9" s="2039" t="s">
        <v>137</v>
      </c>
      <c r="C9" s="2040"/>
      <c r="D9" s="914" t="s">
        <v>153</v>
      </c>
      <c r="E9" s="909" t="s">
        <v>122</v>
      </c>
      <c r="F9" s="910">
        <v>108377915.56999999</v>
      </c>
      <c r="G9" s="910">
        <v>108377915.56999999</v>
      </c>
      <c r="H9" s="911">
        <f t="shared" si="0"/>
        <v>0</v>
      </c>
    </row>
    <row r="10" spans="1:8" s="912" customFormat="1" x14ac:dyDescent="0.2">
      <c r="A10" s="913">
        <v>5</v>
      </c>
      <c r="B10" s="2039" t="s">
        <v>126</v>
      </c>
      <c r="C10" s="2040"/>
      <c r="D10" s="914" t="s">
        <v>154</v>
      </c>
      <c r="E10" s="909" t="s">
        <v>122</v>
      </c>
      <c r="F10" s="910">
        <v>1255744079.51</v>
      </c>
      <c r="G10" s="910">
        <v>1255744079.51</v>
      </c>
      <c r="H10" s="911">
        <f t="shared" si="0"/>
        <v>0</v>
      </c>
    </row>
    <row r="11" spans="1:8" s="912" customFormat="1" ht="26.25" customHeight="1" x14ac:dyDescent="0.2">
      <c r="A11" s="907">
        <v>6</v>
      </c>
      <c r="B11" s="2039" t="s">
        <v>382</v>
      </c>
      <c r="C11" s="2040"/>
      <c r="D11" s="914" t="s">
        <v>155</v>
      </c>
      <c r="E11" s="909" t="s">
        <v>122</v>
      </c>
      <c r="F11" s="910">
        <v>211138716.56999999</v>
      </c>
      <c r="G11" s="910">
        <v>211138716.56999999</v>
      </c>
      <c r="H11" s="911">
        <f t="shared" si="0"/>
        <v>0</v>
      </c>
    </row>
    <row r="12" spans="1:8" s="912" customFormat="1" x14ac:dyDescent="0.2">
      <c r="A12" s="907">
        <v>7</v>
      </c>
      <c r="B12" s="2039" t="s">
        <v>156</v>
      </c>
      <c r="C12" s="2040"/>
      <c r="D12" s="915" t="s">
        <v>157</v>
      </c>
      <c r="E12" s="909" t="s">
        <v>122</v>
      </c>
      <c r="F12" s="910">
        <v>81112721.599999994</v>
      </c>
      <c r="G12" s="910">
        <v>81134146.599999994</v>
      </c>
      <c r="H12" s="911">
        <f t="shared" si="0"/>
        <v>-21425</v>
      </c>
    </row>
    <row r="13" spans="1:8" s="912" customFormat="1" x14ac:dyDescent="0.2">
      <c r="A13" s="913">
        <v>8</v>
      </c>
      <c r="B13" s="2039" t="s">
        <v>756</v>
      </c>
      <c r="C13" s="2040"/>
      <c r="D13" s="915" t="s">
        <v>395</v>
      </c>
      <c r="E13" s="909" t="s">
        <v>122</v>
      </c>
      <c r="F13" s="910">
        <v>1252875</v>
      </c>
      <c r="G13" s="910">
        <v>1252875</v>
      </c>
      <c r="H13" s="911">
        <f t="shared" si="0"/>
        <v>0</v>
      </c>
    </row>
    <row r="14" spans="1:8" s="912" customFormat="1" x14ac:dyDescent="0.2">
      <c r="A14" s="907">
        <v>9</v>
      </c>
      <c r="B14" s="2039" t="s">
        <v>92</v>
      </c>
      <c r="C14" s="2040"/>
      <c r="D14" s="914" t="s">
        <v>158</v>
      </c>
      <c r="E14" s="909" t="s">
        <v>122</v>
      </c>
      <c r="F14" s="910">
        <v>32690660</v>
      </c>
      <c r="G14" s="910">
        <v>32690660</v>
      </c>
      <c r="H14" s="911">
        <f t="shared" si="0"/>
        <v>0</v>
      </c>
    </row>
    <row r="15" spans="1:8" s="912" customFormat="1" x14ac:dyDescent="0.2">
      <c r="A15" s="907">
        <v>10</v>
      </c>
      <c r="B15" s="2039" t="s">
        <v>287</v>
      </c>
      <c r="C15" s="2040"/>
      <c r="D15" s="916" t="s">
        <v>159</v>
      </c>
      <c r="E15" s="909" t="s">
        <v>122</v>
      </c>
      <c r="F15" s="917">
        <v>534430</v>
      </c>
      <c r="G15" s="917">
        <v>534430</v>
      </c>
      <c r="H15" s="911">
        <f t="shared" si="0"/>
        <v>0</v>
      </c>
    </row>
    <row r="16" spans="1:8" s="912" customFormat="1" x14ac:dyDescent="0.2">
      <c r="A16" s="913">
        <v>11</v>
      </c>
      <c r="B16" s="2046" t="s">
        <v>288</v>
      </c>
      <c r="C16" s="2047"/>
      <c r="D16" s="908" t="s">
        <v>160</v>
      </c>
      <c r="E16" s="909" t="s">
        <v>125</v>
      </c>
      <c r="F16" s="910">
        <v>1243611</v>
      </c>
      <c r="G16" s="910">
        <f>F16</f>
        <v>1243611</v>
      </c>
      <c r="H16" s="911">
        <f t="shared" si="0"/>
        <v>0</v>
      </c>
    </row>
    <row r="17" spans="1:8" s="912" customFormat="1" x14ac:dyDescent="0.2">
      <c r="A17" s="907">
        <v>12</v>
      </c>
      <c r="B17" s="2046" t="s">
        <v>289</v>
      </c>
      <c r="C17" s="2047"/>
      <c r="D17" s="914" t="s">
        <v>161</v>
      </c>
      <c r="E17" s="918" t="s">
        <v>125</v>
      </c>
      <c r="F17" s="910">
        <v>2158369111.9000001</v>
      </c>
      <c r="G17" s="910">
        <f t="shared" ref="G17:G29" si="1">F17</f>
        <v>2158369111.9000001</v>
      </c>
      <c r="H17" s="911">
        <f t="shared" si="0"/>
        <v>0</v>
      </c>
    </row>
    <row r="18" spans="1:8" s="912" customFormat="1" x14ac:dyDescent="0.2">
      <c r="A18" s="907">
        <v>13</v>
      </c>
      <c r="B18" s="2039" t="s">
        <v>1091</v>
      </c>
      <c r="C18" s="2040"/>
      <c r="D18" s="915" t="s">
        <v>1092</v>
      </c>
      <c r="E18" s="909" t="s">
        <v>125</v>
      </c>
      <c r="F18" s="910">
        <v>2187178248.46</v>
      </c>
      <c r="G18" s="910">
        <v>2187178248.46</v>
      </c>
      <c r="H18" s="911">
        <f t="shared" si="0"/>
        <v>0</v>
      </c>
    </row>
    <row r="19" spans="1:8" s="912" customFormat="1" x14ac:dyDescent="0.2">
      <c r="A19" s="913">
        <v>14</v>
      </c>
      <c r="B19" s="2046" t="s">
        <v>690</v>
      </c>
      <c r="C19" s="2047"/>
      <c r="D19" s="915" t="s">
        <v>691</v>
      </c>
      <c r="E19" s="909" t="s">
        <v>125</v>
      </c>
      <c r="F19" s="910">
        <v>1404336.31</v>
      </c>
      <c r="G19" s="910">
        <f t="shared" si="1"/>
        <v>1404336.31</v>
      </c>
      <c r="H19" s="911">
        <f t="shared" si="0"/>
        <v>0</v>
      </c>
    </row>
    <row r="20" spans="1:8" s="912" customFormat="1" ht="25.5" customHeight="1" x14ac:dyDescent="0.2">
      <c r="A20" s="907">
        <v>15</v>
      </c>
      <c r="B20" s="2046" t="s">
        <v>290</v>
      </c>
      <c r="C20" s="2047"/>
      <c r="D20" s="915" t="s">
        <v>162</v>
      </c>
      <c r="E20" s="909" t="s">
        <v>120</v>
      </c>
      <c r="F20" s="910">
        <v>2261390336.1599998</v>
      </c>
      <c r="G20" s="910">
        <f t="shared" si="1"/>
        <v>2261390336.1599998</v>
      </c>
      <c r="H20" s="911">
        <f t="shared" si="0"/>
        <v>0</v>
      </c>
    </row>
    <row r="21" spans="1:8" s="912" customFormat="1" x14ac:dyDescent="0.2">
      <c r="A21" s="907">
        <v>16</v>
      </c>
      <c r="B21" s="2046" t="s">
        <v>692</v>
      </c>
      <c r="C21" s="2047"/>
      <c r="D21" s="915" t="s">
        <v>693</v>
      </c>
      <c r="E21" s="918" t="s">
        <v>125</v>
      </c>
      <c r="F21" s="910">
        <v>165609608.06</v>
      </c>
      <c r="G21" s="910">
        <f t="shared" si="1"/>
        <v>165609608.06</v>
      </c>
      <c r="H21" s="911">
        <f t="shared" si="0"/>
        <v>0</v>
      </c>
    </row>
    <row r="22" spans="1:8" s="912" customFormat="1" x14ac:dyDescent="0.2">
      <c r="A22" s="913">
        <v>17</v>
      </c>
      <c r="B22" s="2046" t="s">
        <v>99</v>
      </c>
      <c r="C22" s="2047"/>
      <c r="D22" s="915" t="s">
        <v>100</v>
      </c>
      <c r="E22" s="918" t="s">
        <v>125</v>
      </c>
      <c r="F22" s="910">
        <v>79820576.099999994</v>
      </c>
      <c r="G22" s="910">
        <f t="shared" si="1"/>
        <v>79820576.099999994</v>
      </c>
      <c r="H22" s="911">
        <f t="shared" si="0"/>
        <v>0</v>
      </c>
    </row>
    <row r="23" spans="1:8" s="912" customFormat="1" x14ac:dyDescent="0.2">
      <c r="A23" s="907">
        <v>18</v>
      </c>
      <c r="B23" s="2046" t="s">
        <v>101</v>
      </c>
      <c r="C23" s="2047"/>
      <c r="D23" s="915" t="s">
        <v>102</v>
      </c>
      <c r="E23" s="918" t="s">
        <v>125</v>
      </c>
      <c r="F23" s="910">
        <v>49436</v>
      </c>
      <c r="G23" s="910">
        <f t="shared" si="1"/>
        <v>49436</v>
      </c>
      <c r="H23" s="911">
        <f t="shared" si="0"/>
        <v>0</v>
      </c>
    </row>
    <row r="24" spans="1:8" s="912" customFormat="1" x14ac:dyDescent="0.2">
      <c r="A24" s="907">
        <v>19</v>
      </c>
      <c r="B24" s="2046" t="s">
        <v>103</v>
      </c>
      <c r="C24" s="2047"/>
      <c r="D24" s="915" t="s">
        <v>104</v>
      </c>
      <c r="E24" s="918" t="s">
        <v>125</v>
      </c>
      <c r="F24" s="910">
        <v>887295.48</v>
      </c>
      <c r="G24" s="910">
        <f t="shared" si="1"/>
        <v>887295.48</v>
      </c>
      <c r="H24" s="911">
        <f t="shared" si="0"/>
        <v>0</v>
      </c>
    </row>
    <row r="25" spans="1:8" s="912" customFormat="1" x14ac:dyDescent="0.2">
      <c r="A25" s="913">
        <v>20</v>
      </c>
      <c r="B25" s="2046" t="s">
        <v>105</v>
      </c>
      <c r="C25" s="2047"/>
      <c r="D25" s="915" t="s">
        <v>106</v>
      </c>
      <c r="E25" s="918" t="s">
        <v>125</v>
      </c>
      <c r="F25" s="910">
        <v>29604637</v>
      </c>
      <c r="G25" s="910">
        <f t="shared" si="1"/>
        <v>29604637</v>
      </c>
      <c r="H25" s="911">
        <f t="shared" si="0"/>
        <v>0</v>
      </c>
    </row>
    <row r="26" spans="1:8" s="912" customFormat="1" x14ac:dyDescent="0.2">
      <c r="A26" s="907">
        <v>21</v>
      </c>
      <c r="B26" s="2046" t="s">
        <v>107</v>
      </c>
      <c r="C26" s="2047"/>
      <c r="D26" s="915" t="s">
        <v>108</v>
      </c>
      <c r="E26" s="918" t="s">
        <v>125</v>
      </c>
      <c r="F26" s="910">
        <v>266005727</v>
      </c>
      <c r="G26" s="910">
        <f t="shared" si="1"/>
        <v>266005727</v>
      </c>
      <c r="H26" s="911">
        <f t="shared" si="0"/>
        <v>0</v>
      </c>
    </row>
    <row r="27" spans="1:8" s="912" customFormat="1" x14ac:dyDescent="0.2">
      <c r="A27" s="907">
        <v>22</v>
      </c>
      <c r="B27" s="2048" t="s">
        <v>694</v>
      </c>
      <c r="C27" s="2048"/>
      <c r="D27" s="916" t="s">
        <v>109</v>
      </c>
      <c r="E27" s="919" t="s">
        <v>125</v>
      </c>
      <c r="F27" s="910">
        <v>125653976.89</v>
      </c>
      <c r="G27" s="910">
        <f t="shared" si="1"/>
        <v>125653976.89</v>
      </c>
      <c r="H27" s="911">
        <f t="shared" si="0"/>
        <v>0</v>
      </c>
    </row>
    <row r="28" spans="1:8" s="912" customFormat="1" x14ac:dyDescent="0.2">
      <c r="A28" s="913">
        <v>23</v>
      </c>
      <c r="B28" s="2046" t="s">
        <v>110</v>
      </c>
      <c r="C28" s="2047"/>
      <c r="D28" s="915" t="s">
        <v>111</v>
      </c>
      <c r="E28" s="918" t="s">
        <v>125</v>
      </c>
      <c r="F28" s="910">
        <v>81112721.599999994</v>
      </c>
      <c r="G28" s="910">
        <f t="shared" si="1"/>
        <v>81112721.599999994</v>
      </c>
      <c r="H28" s="911">
        <f t="shared" si="0"/>
        <v>0</v>
      </c>
    </row>
    <row r="29" spans="1:8" s="912" customFormat="1" x14ac:dyDescent="0.2">
      <c r="A29" s="907">
        <v>24</v>
      </c>
      <c r="B29" s="2039" t="s">
        <v>1093</v>
      </c>
      <c r="C29" s="2040"/>
      <c r="D29" s="915" t="s">
        <v>1094</v>
      </c>
      <c r="E29" s="909" t="s">
        <v>125</v>
      </c>
      <c r="F29" s="910">
        <v>7944</v>
      </c>
      <c r="G29" s="910">
        <f t="shared" si="1"/>
        <v>7944</v>
      </c>
      <c r="H29" s="911">
        <f t="shared" si="0"/>
        <v>0</v>
      </c>
    </row>
    <row r="30" spans="1:8" s="912" customFormat="1" x14ac:dyDescent="0.2">
      <c r="A30" s="907">
        <v>25</v>
      </c>
      <c r="B30" s="2039" t="s">
        <v>163</v>
      </c>
      <c r="C30" s="2040"/>
      <c r="D30" s="916" t="s">
        <v>164</v>
      </c>
      <c r="E30" s="909" t="s">
        <v>122</v>
      </c>
      <c r="F30" s="910">
        <v>6570336.2199999997</v>
      </c>
      <c r="G30" s="910">
        <v>6570336.2199999997</v>
      </c>
      <c r="H30" s="911">
        <f t="shared" si="0"/>
        <v>0</v>
      </c>
    </row>
    <row r="31" spans="1:8" s="912" customFormat="1" ht="25.5" customHeight="1" x14ac:dyDescent="0.2">
      <c r="A31" s="913">
        <v>26</v>
      </c>
      <c r="B31" s="2048" t="s">
        <v>695</v>
      </c>
      <c r="C31" s="2048"/>
      <c r="D31" s="915" t="s">
        <v>393</v>
      </c>
      <c r="E31" s="918" t="s">
        <v>125</v>
      </c>
      <c r="F31" s="910">
        <v>1438005.99</v>
      </c>
      <c r="G31" s="910">
        <f>F31</f>
        <v>1438005.99</v>
      </c>
      <c r="H31" s="911">
        <f>F31-G31</f>
        <v>0</v>
      </c>
    </row>
    <row r="32" spans="1:8" s="912" customFormat="1" x14ac:dyDescent="0.2">
      <c r="A32" s="907">
        <v>27</v>
      </c>
      <c r="B32" s="2046" t="s">
        <v>392</v>
      </c>
      <c r="C32" s="2047"/>
      <c r="D32" s="916" t="s">
        <v>112</v>
      </c>
      <c r="E32" s="919" t="s">
        <v>125</v>
      </c>
      <c r="F32" s="910">
        <v>148888.48000000001</v>
      </c>
      <c r="G32" s="910">
        <f>F32</f>
        <v>148888.48000000001</v>
      </c>
      <c r="H32" s="911">
        <f>F32-G32</f>
        <v>0</v>
      </c>
    </row>
    <row r="33" spans="1:15" s="912" customFormat="1" ht="25.5" customHeight="1" x14ac:dyDescent="0.2">
      <c r="A33" s="907">
        <v>28</v>
      </c>
      <c r="B33" s="2046" t="s">
        <v>291</v>
      </c>
      <c r="C33" s="2047"/>
      <c r="D33" s="915" t="s">
        <v>165</v>
      </c>
      <c r="E33" s="918" t="s">
        <v>125</v>
      </c>
      <c r="F33" s="910">
        <v>2638198554.6799998</v>
      </c>
      <c r="G33" s="910">
        <f>F33</f>
        <v>2638198554.6799998</v>
      </c>
      <c r="H33" s="911">
        <f t="shared" si="0"/>
        <v>0</v>
      </c>
    </row>
    <row r="34" spans="1:15" s="912" customFormat="1" ht="25.5" customHeight="1" x14ac:dyDescent="0.2">
      <c r="A34" s="913">
        <v>29</v>
      </c>
      <c r="B34" s="2046" t="s">
        <v>292</v>
      </c>
      <c r="C34" s="2047"/>
      <c r="D34" s="915" t="s">
        <v>166</v>
      </c>
      <c r="E34" s="918" t="s">
        <v>125</v>
      </c>
      <c r="F34" s="910">
        <v>127334841.13</v>
      </c>
      <c r="G34" s="910">
        <f>F34</f>
        <v>127334841.13</v>
      </c>
      <c r="H34" s="911">
        <f t="shared" si="0"/>
        <v>0</v>
      </c>
    </row>
    <row r="35" spans="1:15" s="912" customFormat="1" x14ac:dyDescent="0.2">
      <c r="A35" s="907">
        <v>30</v>
      </c>
      <c r="B35" s="2046" t="s">
        <v>293</v>
      </c>
      <c r="C35" s="2047"/>
      <c r="D35" s="916" t="s">
        <v>167</v>
      </c>
      <c r="E35" s="918" t="s">
        <v>125</v>
      </c>
      <c r="F35" s="910">
        <v>5463290.9900000002</v>
      </c>
      <c r="G35" s="910">
        <f>F35</f>
        <v>5463290.9900000002</v>
      </c>
      <c r="H35" s="911">
        <f t="shared" si="0"/>
        <v>0</v>
      </c>
    </row>
    <row r="36" spans="1:15" s="912" customFormat="1" x14ac:dyDescent="0.2">
      <c r="A36" s="907">
        <v>31</v>
      </c>
      <c r="B36" s="2039" t="s">
        <v>696</v>
      </c>
      <c r="C36" s="2040"/>
      <c r="D36" s="915" t="s">
        <v>697</v>
      </c>
      <c r="E36" s="918" t="s">
        <v>122</v>
      </c>
      <c r="F36" s="910">
        <v>86119.05</v>
      </c>
      <c r="G36" s="910">
        <v>86119.05</v>
      </c>
      <c r="H36" s="911">
        <f>F36-G36</f>
        <v>0</v>
      </c>
      <c r="O36" s="910"/>
    </row>
    <row r="37" spans="1:15" s="912" customFormat="1" x14ac:dyDescent="0.2">
      <c r="A37" s="913">
        <v>32</v>
      </c>
      <c r="B37" s="2046" t="s">
        <v>254</v>
      </c>
      <c r="C37" s="2047"/>
      <c r="D37" s="915" t="s">
        <v>255</v>
      </c>
      <c r="E37" s="918" t="s">
        <v>125</v>
      </c>
      <c r="F37" s="910">
        <v>0</v>
      </c>
      <c r="G37" s="910">
        <f>F37</f>
        <v>0</v>
      </c>
      <c r="H37" s="911">
        <f t="shared" si="0"/>
        <v>0</v>
      </c>
    </row>
    <row r="38" spans="1:15" s="912" customFormat="1" x14ac:dyDescent="0.2">
      <c r="A38" s="907">
        <v>33</v>
      </c>
      <c r="B38" s="2039" t="s">
        <v>168</v>
      </c>
      <c r="C38" s="2040"/>
      <c r="D38" s="916" t="s">
        <v>169</v>
      </c>
      <c r="E38" s="909" t="s">
        <v>122</v>
      </c>
      <c r="F38" s="910">
        <v>72200</v>
      </c>
      <c r="G38" s="910">
        <v>72200</v>
      </c>
      <c r="H38" s="911">
        <f t="shared" si="0"/>
        <v>0</v>
      </c>
    </row>
    <row r="39" spans="1:15" s="912" customFormat="1" x14ac:dyDescent="0.2">
      <c r="A39" s="907">
        <v>34</v>
      </c>
      <c r="B39" s="2048" t="s">
        <v>170</v>
      </c>
      <c r="C39" s="2048"/>
      <c r="D39" s="916" t="s">
        <v>171</v>
      </c>
      <c r="E39" s="919" t="s">
        <v>125</v>
      </c>
      <c r="F39" s="910">
        <v>15570664.41</v>
      </c>
      <c r="G39" s="910">
        <f t="shared" ref="G39:G88" si="2">F39</f>
        <v>15570664.41</v>
      </c>
      <c r="H39" s="911">
        <f t="shared" si="0"/>
        <v>0</v>
      </c>
    </row>
    <row r="40" spans="1:15" s="912" customFormat="1" x14ac:dyDescent="0.2">
      <c r="A40" s="913">
        <v>35</v>
      </c>
      <c r="B40" s="2048" t="s">
        <v>294</v>
      </c>
      <c r="C40" s="2048"/>
      <c r="D40" s="916" t="s">
        <v>172</v>
      </c>
      <c r="E40" s="919" t="s">
        <v>125</v>
      </c>
      <c r="F40" s="910">
        <v>599347603.23000002</v>
      </c>
      <c r="G40" s="910">
        <f t="shared" si="2"/>
        <v>599347603.23000002</v>
      </c>
      <c r="H40" s="911">
        <f t="shared" si="0"/>
        <v>0</v>
      </c>
    </row>
    <row r="41" spans="1:15" s="912" customFormat="1" x14ac:dyDescent="0.2">
      <c r="A41" s="907">
        <v>36</v>
      </c>
      <c r="B41" s="2048" t="s">
        <v>295</v>
      </c>
      <c r="C41" s="2048"/>
      <c r="D41" s="916" t="s">
        <v>173</v>
      </c>
      <c r="E41" s="919" t="s">
        <v>125</v>
      </c>
      <c r="F41" s="910">
        <v>5906007.5999999996</v>
      </c>
      <c r="G41" s="910">
        <f t="shared" si="2"/>
        <v>5906007.5999999996</v>
      </c>
      <c r="H41" s="911">
        <f t="shared" si="0"/>
        <v>0</v>
      </c>
    </row>
    <row r="42" spans="1:15" s="912" customFormat="1" ht="25.5" customHeight="1" x14ac:dyDescent="0.2">
      <c r="A42" s="907">
        <v>37</v>
      </c>
      <c r="B42" s="2048" t="s">
        <v>296</v>
      </c>
      <c r="C42" s="2048"/>
      <c r="D42" s="916" t="s">
        <v>174</v>
      </c>
      <c r="E42" s="919" t="s">
        <v>125</v>
      </c>
      <c r="F42" s="910">
        <v>654500</v>
      </c>
      <c r="G42" s="910">
        <f t="shared" si="2"/>
        <v>654500</v>
      </c>
      <c r="H42" s="911">
        <f t="shared" si="0"/>
        <v>0</v>
      </c>
    </row>
    <row r="43" spans="1:15" s="912" customFormat="1" x14ac:dyDescent="0.2">
      <c r="A43" s="913">
        <v>38</v>
      </c>
      <c r="B43" s="2039" t="s">
        <v>384</v>
      </c>
      <c r="C43" s="2040"/>
      <c r="D43" s="916" t="s">
        <v>297</v>
      </c>
      <c r="E43" s="918" t="s">
        <v>125</v>
      </c>
      <c r="F43" s="910">
        <v>0</v>
      </c>
      <c r="G43" s="910">
        <f t="shared" si="2"/>
        <v>0</v>
      </c>
      <c r="H43" s="911">
        <f t="shared" si="0"/>
        <v>0</v>
      </c>
    </row>
    <row r="44" spans="1:15" s="912" customFormat="1" x14ac:dyDescent="0.2">
      <c r="A44" s="907">
        <v>39</v>
      </c>
      <c r="B44" s="2046" t="s">
        <v>175</v>
      </c>
      <c r="C44" s="2047"/>
      <c r="D44" s="916" t="s">
        <v>176</v>
      </c>
      <c r="E44" s="918" t="s">
        <v>125</v>
      </c>
      <c r="F44" s="910">
        <v>153160931.24000001</v>
      </c>
      <c r="G44" s="910">
        <f t="shared" si="2"/>
        <v>153160931.24000001</v>
      </c>
      <c r="H44" s="911">
        <f t="shared" si="0"/>
        <v>0</v>
      </c>
    </row>
    <row r="45" spans="1:15" s="912" customFormat="1" x14ac:dyDescent="0.2">
      <c r="A45" s="907">
        <v>40</v>
      </c>
      <c r="B45" s="2046" t="s">
        <v>298</v>
      </c>
      <c r="C45" s="2047"/>
      <c r="D45" s="916" t="s">
        <v>177</v>
      </c>
      <c r="E45" s="918" t="s">
        <v>125</v>
      </c>
      <c r="F45" s="910">
        <v>68987226.200000003</v>
      </c>
      <c r="G45" s="910">
        <f t="shared" si="2"/>
        <v>68987226.200000003</v>
      </c>
      <c r="H45" s="911">
        <f t="shared" si="0"/>
        <v>0</v>
      </c>
    </row>
    <row r="46" spans="1:15" s="912" customFormat="1" x14ac:dyDescent="0.2">
      <c r="A46" s="913">
        <v>41</v>
      </c>
      <c r="B46" s="2046" t="s">
        <v>299</v>
      </c>
      <c r="C46" s="2047"/>
      <c r="D46" s="916" t="s">
        <v>178</v>
      </c>
      <c r="E46" s="918" t="s">
        <v>125</v>
      </c>
      <c r="F46" s="910">
        <v>13704842</v>
      </c>
      <c r="G46" s="910">
        <f t="shared" si="2"/>
        <v>13704842</v>
      </c>
      <c r="H46" s="911">
        <f t="shared" si="0"/>
        <v>0</v>
      </c>
    </row>
    <row r="47" spans="1:15" s="912" customFormat="1" x14ac:dyDescent="0.2">
      <c r="A47" s="907">
        <v>42</v>
      </c>
      <c r="B47" s="2046" t="s">
        <v>300</v>
      </c>
      <c r="C47" s="2047"/>
      <c r="D47" s="915" t="s">
        <v>179</v>
      </c>
      <c r="E47" s="918" t="s">
        <v>125</v>
      </c>
      <c r="F47" s="910">
        <v>7411</v>
      </c>
      <c r="G47" s="910">
        <f t="shared" si="2"/>
        <v>7411</v>
      </c>
      <c r="H47" s="911">
        <f t="shared" si="0"/>
        <v>0</v>
      </c>
    </row>
    <row r="48" spans="1:15" s="912" customFormat="1" x14ac:dyDescent="0.2">
      <c r="A48" s="907">
        <v>43</v>
      </c>
      <c r="B48" s="2046" t="s">
        <v>180</v>
      </c>
      <c r="C48" s="2047"/>
      <c r="D48" s="916" t="s">
        <v>247</v>
      </c>
      <c r="E48" s="918" t="s">
        <v>125</v>
      </c>
      <c r="F48" s="910">
        <v>440</v>
      </c>
      <c r="G48" s="910">
        <f t="shared" si="2"/>
        <v>440</v>
      </c>
      <c r="H48" s="911">
        <f t="shared" si="0"/>
        <v>0</v>
      </c>
    </row>
    <row r="49" spans="1:8" s="912" customFormat="1" x14ac:dyDescent="0.2">
      <c r="A49" s="913">
        <v>44</v>
      </c>
      <c r="B49" s="2046" t="s">
        <v>385</v>
      </c>
      <c r="C49" s="2047"/>
      <c r="D49" s="916" t="s">
        <v>248</v>
      </c>
      <c r="E49" s="918" t="s">
        <v>125</v>
      </c>
      <c r="F49" s="910">
        <v>5120159</v>
      </c>
      <c r="G49" s="910">
        <f t="shared" si="2"/>
        <v>5120159</v>
      </c>
      <c r="H49" s="911">
        <f t="shared" si="0"/>
        <v>0</v>
      </c>
    </row>
    <row r="50" spans="1:8" s="912" customFormat="1" x14ac:dyDescent="0.2">
      <c r="A50" s="907">
        <v>45</v>
      </c>
      <c r="B50" s="2046" t="s">
        <v>386</v>
      </c>
      <c r="C50" s="2047"/>
      <c r="D50" s="916" t="s">
        <v>387</v>
      </c>
      <c r="E50" s="918" t="s">
        <v>125</v>
      </c>
      <c r="F50" s="910">
        <v>2296784</v>
      </c>
      <c r="G50" s="910">
        <f t="shared" si="2"/>
        <v>2296784</v>
      </c>
      <c r="H50" s="911">
        <f t="shared" si="0"/>
        <v>0</v>
      </c>
    </row>
    <row r="51" spans="1:8" s="912" customFormat="1" x14ac:dyDescent="0.2">
      <c r="A51" s="913">
        <v>46</v>
      </c>
      <c r="B51" s="2039" t="s">
        <v>388</v>
      </c>
      <c r="C51" s="2040"/>
      <c r="D51" s="916" t="s">
        <v>256</v>
      </c>
      <c r="E51" s="918" t="s">
        <v>125</v>
      </c>
      <c r="F51" s="910">
        <v>0</v>
      </c>
      <c r="G51" s="910">
        <f t="shared" si="2"/>
        <v>0</v>
      </c>
      <c r="H51" s="911">
        <f t="shared" si="0"/>
        <v>0</v>
      </c>
    </row>
    <row r="52" spans="1:8" s="912" customFormat="1" ht="25.5" customHeight="1" x14ac:dyDescent="0.2">
      <c r="A52" s="913">
        <v>47</v>
      </c>
      <c r="B52" s="2048" t="s">
        <v>432</v>
      </c>
      <c r="C52" s="2048"/>
      <c r="D52" s="916" t="s">
        <v>249</v>
      </c>
      <c r="E52" s="919" t="s">
        <v>125</v>
      </c>
      <c r="F52" s="910">
        <v>1317620</v>
      </c>
      <c r="G52" s="910">
        <f>F52</f>
        <v>1317620</v>
      </c>
      <c r="H52" s="911">
        <f>F52-G52</f>
        <v>0</v>
      </c>
    </row>
    <row r="53" spans="1:8" ht="15" x14ac:dyDescent="0.25">
      <c r="A53"/>
      <c r="B53"/>
      <c r="C53"/>
      <c r="D53"/>
      <c r="E53"/>
      <c r="F53" s="640"/>
      <c r="G53"/>
      <c r="H53" s="933" t="s">
        <v>810</v>
      </c>
    </row>
    <row r="54" spans="1:8" ht="6.75" customHeight="1" x14ac:dyDescent="0.2">
      <c r="A54"/>
      <c r="B54"/>
      <c r="C54"/>
      <c r="D54"/>
      <c r="E54"/>
      <c r="F54" s="640"/>
      <c r="G54" s="641"/>
      <c r="H54" s="641"/>
    </row>
    <row r="55" spans="1:8" ht="33" customHeight="1" x14ac:dyDescent="0.2">
      <c r="A55" s="2041" t="s">
        <v>1099</v>
      </c>
      <c r="B55" s="2041"/>
      <c r="C55" s="2041"/>
      <c r="D55" s="2041"/>
      <c r="E55" s="2041"/>
      <c r="F55" s="2041"/>
      <c r="G55" s="2041"/>
      <c r="H55" s="2041"/>
    </row>
    <row r="56" spans="1:8" ht="9" customHeight="1" thickBot="1" x14ac:dyDescent="0.25">
      <c r="A56" s="900"/>
      <c r="B56" s="900"/>
      <c r="C56" s="900"/>
      <c r="D56" s="900"/>
      <c r="E56" s="900"/>
      <c r="F56" s="901"/>
      <c r="G56" s="900"/>
      <c r="H56" s="900"/>
    </row>
    <row r="57" spans="1:8" ht="18" customHeight="1" thickBot="1" x14ac:dyDescent="0.25">
      <c r="A57" s="902" t="s">
        <v>686</v>
      </c>
      <c r="B57" s="2042" t="s">
        <v>131</v>
      </c>
      <c r="C57" s="2043"/>
      <c r="D57" s="903" t="s">
        <v>113</v>
      </c>
      <c r="E57" s="904" t="s">
        <v>729</v>
      </c>
      <c r="F57" s="905" t="s">
        <v>687</v>
      </c>
      <c r="G57" s="903" t="s">
        <v>688</v>
      </c>
      <c r="H57" s="906" t="s">
        <v>689</v>
      </c>
    </row>
    <row r="58" spans="1:8" s="912" customFormat="1" ht="13.5" thickTop="1" x14ac:dyDescent="0.2">
      <c r="A58" s="907">
        <v>48</v>
      </c>
      <c r="B58" s="2039" t="s">
        <v>250</v>
      </c>
      <c r="C58" s="2040"/>
      <c r="D58" s="916" t="s">
        <v>251</v>
      </c>
      <c r="E58" s="918" t="s">
        <v>125</v>
      </c>
      <c r="F58" s="910">
        <v>34512.46</v>
      </c>
      <c r="G58" s="910">
        <f t="shared" si="2"/>
        <v>34512.46</v>
      </c>
      <c r="H58" s="911">
        <f t="shared" si="0"/>
        <v>0</v>
      </c>
    </row>
    <row r="59" spans="1:8" s="912" customFormat="1" ht="25.5" customHeight="1" x14ac:dyDescent="0.2">
      <c r="A59" s="907">
        <v>49</v>
      </c>
      <c r="B59" s="2039" t="s">
        <v>1095</v>
      </c>
      <c r="C59" s="2040"/>
      <c r="D59" s="916" t="s">
        <v>301</v>
      </c>
      <c r="E59" s="918" t="s">
        <v>125</v>
      </c>
      <c r="F59" s="910">
        <v>0</v>
      </c>
      <c r="G59" s="910">
        <f t="shared" si="2"/>
        <v>0</v>
      </c>
      <c r="H59" s="911">
        <f t="shared" si="0"/>
        <v>0</v>
      </c>
    </row>
    <row r="60" spans="1:8" s="912" customFormat="1" ht="25.5" customHeight="1" x14ac:dyDescent="0.2">
      <c r="A60" s="913">
        <v>50</v>
      </c>
      <c r="B60" s="2046" t="s">
        <v>302</v>
      </c>
      <c r="C60" s="2047"/>
      <c r="D60" s="916" t="s">
        <v>240</v>
      </c>
      <c r="E60" s="918" t="s">
        <v>125</v>
      </c>
      <c r="F60" s="910">
        <v>0</v>
      </c>
      <c r="G60" s="910">
        <f t="shared" si="2"/>
        <v>0</v>
      </c>
      <c r="H60" s="911">
        <f t="shared" si="0"/>
        <v>0</v>
      </c>
    </row>
    <row r="61" spans="1:8" s="912" customFormat="1" ht="25.5" customHeight="1" x14ac:dyDescent="0.2">
      <c r="A61" s="907">
        <v>51</v>
      </c>
      <c r="B61" s="2039" t="s">
        <v>303</v>
      </c>
      <c r="C61" s="2040"/>
      <c r="D61" s="916" t="s">
        <v>241</v>
      </c>
      <c r="E61" s="918" t="s">
        <v>125</v>
      </c>
      <c r="F61" s="910">
        <v>16172</v>
      </c>
      <c r="G61" s="910">
        <f t="shared" si="2"/>
        <v>16172</v>
      </c>
      <c r="H61" s="911">
        <f t="shared" si="0"/>
        <v>0</v>
      </c>
    </row>
    <row r="62" spans="1:8" s="912" customFormat="1" ht="25.5" customHeight="1" x14ac:dyDescent="0.2">
      <c r="A62" s="907">
        <v>52</v>
      </c>
      <c r="B62" s="2039" t="s">
        <v>304</v>
      </c>
      <c r="C62" s="2040"/>
      <c r="D62" s="916" t="s">
        <v>242</v>
      </c>
      <c r="E62" s="918" t="s">
        <v>125</v>
      </c>
      <c r="F62" s="910">
        <v>18702.099999999999</v>
      </c>
      <c r="G62" s="910">
        <f t="shared" si="2"/>
        <v>18702.099999999999</v>
      </c>
      <c r="H62" s="911">
        <f t="shared" si="0"/>
        <v>0</v>
      </c>
    </row>
    <row r="63" spans="1:8" s="912" customFormat="1" ht="25.5" customHeight="1" x14ac:dyDescent="0.2">
      <c r="A63" s="913">
        <v>53</v>
      </c>
      <c r="B63" s="2039" t="s">
        <v>305</v>
      </c>
      <c r="C63" s="2040"/>
      <c r="D63" s="916" t="s">
        <v>243</v>
      </c>
      <c r="E63" s="918" t="s">
        <v>125</v>
      </c>
      <c r="F63" s="910">
        <v>18523</v>
      </c>
      <c r="G63" s="910">
        <f t="shared" si="2"/>
        <v>18523</v>
      </c>
      <c r="H63" s="911">
        <f t="shared" si="0"/>
        <v>0</v>
      </c>
    </row>
    <row r="64" spans="1:8" s="912" customFormat="1" ht="25.5" customHeight="1" x14ac:dyDescent="0.2">
      <c r="A64" s="907">
        <v>54</v>
      </c>
      <c r="B64" s="2039" t="s">
        <v>306</v>
      </c>
      <c r="C64" s="2040"/>
      <c r="D64" s="916" t="s">
        <v>244</v>
      </c>
      <c r="E64" s="918" t="s">
        <v>125</v>
      </c>
      <c r="F64" s="910">
        <v>0</v>
      </c>
      <c r="G64" s="910">
        <f t="shared" si="2"/>
        <v>0</v>
      </c>
      <c r="H64" s="911">
        <f t="shared" si="0"/>
        <v>0</v>
      </c>
    </row>
    <row r="65" spans="1:8" s="912" customFormat="1" ht="25.5" customHeight="1" x14ac:dyDescent="0.2">
      <c r="A65" s="907">
        <v>55</v>
      </c>
      <c r="B65" s="2039" t="s">
        <v>1096</v>
      </c>
      <c r="C65" s="2040"/>
      <c r="D65" s="916" t="s">
        <v>1097</v>
      </c>
      <c r="E65" s="918" t="s">
        <v>125</v>
      </c>
      <c r="F65" s="910">
        <v>0</v>
      </c>
      <c r="G65" s="910">
        <f t="shared" si="2"/>
        <v>0</v>
      </c>
      <c r="H65" s="911">
        <f t="shared" si="0"/>
        <v>0</v>
      </c>
    </row>
    <row r="66" spans="1:8" s="912" customFormat="1" ht="24.75" customHeight="1" x14ac:dyDescent="0.2">
      <c r="A66" s="913">
        <v>56</v>
      </c>
      <c r="B66" s="2039" t="s">
        <v>307</v>
      </c>
      <c r="C66" s="2040"/>
      <c r="D66" s="916" t="s">
        <v>48</v>
      </c>
      <c r="E66" s="918" t="s">
        <v>125</v>
      </c>
      <c r="F66" s="910">
        <v>138028300.33000001</v>
      </c>
      <c r="G66" s="910">
        <f t="shared" si="2"/>
        <v>138028300.33000001</v>
      </c>
      <c r="H66" s="911">
        <f t="shared" si="0"/>
        <v>0</v>
      </c>
    </row>
    <row r="67" spans="1:8" s="912" customFormat="1" x14ac:dyDescent="0.2">
      <c r="A67" s="907">
        <v>57</v>
      </c>
      <c r="B67" s="2039" t="s">
        <v>308</v>
      </c>
      <c r="C67" s="2040"/>
      <c r="D67" s="916" t="s">
        <v>49</v>
      </c>
      <c r="E67" s="918" t="s">
        <v>125</v>
      </c>
      <c r="F67" s="910">
        <v>23442674.739999998</v>
      </c>
      <c r="G67" s="910">
        <f t="shared" si="2"/>
        <v>23442674.739999998</v>
      </c>
      <c r="H67" s="911">
        <f t="shared" si="0"/>
        <v>0</v>
      </c>
    </row>
    <row r="68" spans="1:8" s="912" customFormat="1" x14ac:dyDescent="0.2">
      <c r="A68" s="907">
        <v>58</v>
      </c>
      <c r="B68" s="2039" t="s">
        <v>433</v>
      </c>
      <c r="C68" s="2040"/>
      <c r="D68" s="916" t="s">
        <v>423</v>
      </c>
      <c r="E68" s="918" t="s">
        <v>125</v>
      </c>
      <c r="F68" s="910">
        <v>4077873</v>
      </c>
      <c r="G68" s="910">
        <f t="shared" si="2"/>
        <v>4077873</v>
      </c>
      <c r="H68" s="911">
        <f t="shared" si="0"/>
        <v>0</v>
      </c>
    </row>
    <row r="69" spans="1:8" s="912" customFormat="1" x14ac:dyDescent="0.2">
      <c r="A69" s="913">
        <v>59</v>
      </c>
      <c r="B69" s="2049" t="s">
        <v>50</v>
      </c>
      <c r="C69" s="2049"/>
      <c r="D69" s="916" t="s">
        <v>51</v>
      </c>
      <c r="E69" s="919" t="s">
        <v>125</v>
      </c>
      <c r="F69" s="910">
        <v>12851.43</v>
      </c>
      <c r="G69" s="910">
        <f t="shared" si="2"/>
        <v>12851.43</v>
      </c>
      <c r="H69" s="911">
        <f t="shared" si="0"/>
        <v>0</v>
      </c>
    </row>
    <row r="70" spans="1:8" s="912" customFormat="1" x14ac:dyDescent="0.2">
      <c r="A70" s="907">
        <v>60</v>
      </c>
      <c r="B70" s="2048" t="s">
        <v>309</v>
      </c>
      <c r="C70" s="2048"/>
      <c r="D70" s="916" t="s">
        <v>252</v>
      </c>
      <c r="E70" s="919" t="s">
        <v>125</v>
      </c>
      <c r="F70" s="910">
        <v>15434734.029999999</v>
      </c>
      <c r="G70" s="910">
        <f t="shared" si="2"/>
        <v>15434734.029999999</v>
      </c>
      <c r="H70" s="911">
        <f t="shared" si="0"/>
        <v>0</v>
      </c>
    </row>
    <row r="71" spans="1:8" s="912" customFormat="1" x14ac:dyDescent="0.2">
      <c r="A71" s="907">
        <v>61</v>
      </c>
      <c r="B71" s="2048" t="s">
        <v>52</v>
      </c>
      <c r="C71" s="2048"/>
      <c r="D71" s="916" t="s">
        <v>53</v>
      </c>
      <c r="E71" s="919" t="s">
        <v>125</v>
      </c>
      <c r="F71" s="910">
        <v>6443921.0300000003</v>
      </c>
      <c r="G71" s="910">
        <f t="shared" si="2"/>
        <v>6443921.0300000003</v>
      </c>
      <c r="H71" s="911">
        <f t="shared" si="0"/>
        <v>0</v>
      </c>
    </row>
    <row r="72" spans="1:8" s="912" customFormat="1" x14ac:dyDescent="0.2">
      <c r="A72" s="913">
        <v>62</v>
      </c>
      <c r="B72" s="2049" t="s">
        <v>93</v>
      </c>
      <c r="C72" s="2049"/>
      <c r="D72" s="916" t="s">
        <v>94</v>
      </c>
      <c r="E72" s="919" t="s">
        <v>125</v>
      </c>
      <c r="F72" s="910">
        <v>1100</v>
      </c>
      <c r="G72" s="910">
        <f t="shared" si="2"/>
        <v>1100</v>
      </c>
      <c r="H72" s="911">
        <f t="shared" si="0"/>
        <v>0</v>
      </c>
    </row>
    <row r="73" spans="1:8" s="912" customFormat="1" x14ac:dyDescent="0.2">
      <c r="A73" s="907">
        <v>63</v>
      </c>
      <c r="B73" s="2049" t="s">
        <v>54</v>
      </c>
      <c r="C73" s="2049"/>
      <c r="D73" s="916" t="s">
        <v>55</v>
      </c>
      <c r="E73" s="919" t="s">
        <v>125</v>
      </c>
      <c r="F73" s="910">
        <v>1123990909.04</v>
      </c>
      <c r="G73" s="910">
        <f t="shared" si="2"/>
        <v>1123990909.04</v>
      </c>
      <c r="H73" s="911">
        <f t="shared" si="0"/>
        <v>0</v>
      </c>
    </row>
    <row r="74" spans="1:8" s="912" customFormat="1" x14ac:dyDescent="0.2">
      <c r="A74" s="907">
        <v>64</v>
      </c>
      <c r="B74" s="2049" t="s">
        <v>56</v>
      </c>
      <c r="C74" s="2049"/>
      <c r="D74" s="916" t="s">
        <v>57</v>
      </c>
      <c r="E74" s="919" t="s">
        <v>125</v>
      </c>
      <c r="F74" s="910">
        <v>759741099.38999999</v>
      </c>
      <c r="G74" s="910">
        <f t="shared" si="2"/>
        <v>759741099.38999999</v>
      </c>
      <c r="H74" s="911">
        <f t="shared" si="0"/>
        <v>0</v>
      </c>
    </row>
    <row r="75" spans="1:8" s="912" customFormat="1" x14ac:dyDescent="0.2">
      <c r="A75" s="913">
        <v>65</v>
      </c>
      <c r="B75" s="2049" t="s">
        <v>58</v>
      </c>
      <c r="C75" s="2050"/>
      <c r="D75" s="916" t="s">
        <v>59</v>
      </c>
      <c r="E75" s="919" t="s">
        <v>125</v>
      </c>
      <c r="F75" s="910">
        <v>0</v>
      </c>
      <c r="G75" s="910">
        <f t="shared" si="2"/>
        <v>0</v>
      </c>
      <c r="H75" s="911">
        <f t="shared" si="0"/>
        <v>0</v>
      </c>
    </row>
    <row r="76" spans="1:8" s="912" customFormat="1" x14ac:dyDescent="0.2">
      <c r="A76" s="907">
        <v>66</v>
      </c>
      <c r="B76" s="2048" t="s">
        <v>95</v>
      </c>
      <c r="C76" s="2048"/>
      <c r="D76" s="916" t="s">
        <v>96</v>
      </c>
      <c r="E76" s="919" t="s">
        <v>125</v>
      </c>
      <c r="F76" s="910">
        <v>-651174518.09000003</v>
      </c>
      <c r="G76" s="910">
        <f t="shared" si="2"/>
        <v>-651174518.09000003</v>
      </c>
      <c r="H76" s="911">
        <f t="shared" si="0"/>
        <v>0</v>
      </c>
    </row>
    <row r="77" spans="1:8" s="912" customFormat="1" ht="25.5" customHeight="1" x14ac:dyDescent="0.2">
      <c r="A77" s="907">
        <v>67</v>
      </c>
      <c r="B77" s="2048" t="s">
        <v>310</v>
      </c>
      <c r="C77" s="2048"/>
      <c r="D77" s="916" t="s">
        <v>97</v>
      </c>
      <c r="E77" s="919" t="s">
        <v>125</v>
      </c>
      <c r="F77" s="910">
        <v>1278749596.6700001</v>
      </c>
      <c r="G77" s="910">
        <f t="shared" si="2"/>
        <v>1278749596.6700001</v>
      </c>
      <c r="H77" s="911">
        <f t="shared" si="0"/>
        <v>0</v>
      </c>
    </row>
    <row r="78" spans="1:8" s="912" customFormat="1" x14ac:dyDescent="0.2">
      <c r="A78" s="913">
        <v>68</v>
      </c>
      <c r="B78" s="2048" t="s">
        <v>311</v>
      </c>
      <c r="C78" s="2048"/>
      <c r="D78" s="916" t="s">
        <v>98</v>
      </c>
      <c r="E78" s="919" t="s">
        <v>125</v>
      </c>
      <c r="F78" s="910">
        <v>-766502443.49000001</v>
      </c>
      <c r="G78" s="910">
        <f t="shared" si="2"/>
        <v>-766502443.49000001</v>
      </c>
      <c r="H78" s="911">
        <f t="shared" si="0"/>
        <v>0</v>
      </c>
    </row>
    <row r="79" spans="1:8" s="912" customFormat="1" x14ac:dyDescent="0.2">
      <c r="A79" s="907">
        <v>69</v>
      </c>
      <c r="B79" s="2039" t="s">
        <v>312</v>
      </c>
      <c r="C79" s="2040"/>
      <c r="D79" s="916" t="s">
        <v>316</v>
      </c>
      <c r="E79" s="919" t="s">
        <v>125</v>
      </c>
      <c r="F79" s="910">
        <v>4496861.84</v>
      </c>
      <c r="G79" s="910">
        <f t="shared" si="2"/>
        <v>4496861.84</v>
      </c>
      <c r="H79" s="911">
        <f t="shared" si="0"/>
        <v>0</v>
      </c>
    </row>
    <row r="80" spans="1:8" s="912" customFormat="1" x14ac:dyDescent="0.2">
      <c r="A80" s="907">
        <v>70</v>
      </c>
      <c r="B80" s="2048" t="s">
        <v>424</v>
      </c>
      <c r="C80" s="2048"/>
      <c r="D80" s="916" t="s">
        <v>269</v>
      </c>
      <c r="E80" s="919" t="s">
        <v>125</v>
      </c>
      <c r="F80" s="910">
        <v>-7182558.9699999997</v>
      </c>
      <c r="G80" s="910">
        <f t="shared" si="2"/>
        <v>-7182558.9699999997</v>
      </c>
      <c r="H80" s="911">
        <f t="shared" si="0"/>
        <v>0</v>
      </c>
    </row>
    <row r="81" spans="1:10" s="912" customFormat="1" x14ac:dyDescent="0.2">
      <c r="A81" s="913">
        <v>71</v>
      </c>
      <c r="B81" s="2049" t="s">
        <v>60</v>
      </c>
      <c r="C81" s="2049"/>
      <c r="D81" s="916" t="s">
        <v>61</v>
      </c>
      <c r="E81" s="919" t="s">
        <v>125</v>
      </c>
      <c r="F81" s="910">
        <v>127334841.13</v>
      </c>
      <c r="G81" s="910">
        <f t="shared" si="2"/>
        <v>127334841.13</v>
      </c>
      <c r="H81" s="911">
        <f t="shared" si="0"/>
        <v>0</v>
      </c>
    </row>
    <row r="82" spans="1:10" s="912" customFormat="1" x14ac:dyDescent="0.2">
      <c r="A82" s="907">
        <v>72</v>
      </c>
      <c r="B82" s="2049" t="s">
        <v>313</v>
      </c>
      <c r="C82" s="2049"/>
      <c r="D82" s="916" t="s">
        <v>62</v>
      </c>
      <c r="E82" s="919" t="s">
        <v>125</v>
      </c>
      <c r="F82" s="910">
        <v>234345870.44999999</v>
      </c>
      <c r="G82" s="910">
        <f t="shared" si="2"/>
        <v>234345870.44999999</v>
      </c>
      <c r="H82" s="911">
        <f t="shared" si="0"/>
        <v>0</v>
      </c>
    </row>
    <row r="83" spans="1:10" s="912" customFormat="1" x14ac:dyDescent="0.2">
      <c r="A83" s="907">
        <v>73</v>
      </c>
      <c r="B83" s="2049" t="s">
        <v>253</v>
      </c>
      <c r="C83" s="2049"/>
      <c r="D83" s="916" t="s">
        <v>63</v>
      </c>
      <c r="E83" s="919" t="s">
        <v>125</v>
      </c>
      <c r="F83" s="910">
        <v>2322381611.5999999</v>
      </c>
      <c r="G83" s="910">
        <f t="shared" si="2"/>
        <v>2322381611.5999999</v>
      </c>
      <c r="H83" s="911">
        <f t="shared" si="0"/>
        <v>0</v>
      </c>
    </row>
    <row r="84" spans="1:10" s="912" customFormat="1" ht="25.5" customHeight="1" x14ac:dyDescent="0.2">
      <c r="A84" s="913">
        <v>74</v>
      </c>
      <c r="B84" s="2049" t="s">
        <v>314</v>
      </c>
      <c r="C84" s="2049"/>
      <c r="D84" s="916" t="s">
        <v>64</v>
      </c>
      <c r="E84" s="919" t="s">
        <v>125</v>
      </c>
      <c r="F84" s="910">
        <v>14913819.310000001</v>
      </c>
      <c r="G84" s="910">
        <f t="shared" si="2"/>
        <v>14913819.310000001</v>
      </c>
      <c r="H84" s="911">
        <f t="shared" si="0"/>
        <v>0</v>
      </c>
    </row>
    <row r="85" spans="1:10" s="912" customFormat="1" x14ac:dyDescent="0.2">
      <c r="A85" s="907">
        <v>75</v>
      </c>
      <c r="B85" s="2049" t="s">
        <v>270</v>
      </c>
      <c r="C85" s="2049"/>
      <c r="D85" s="916" t="s">
        <v>271</v>
      </c>
      <c r="E85" s="919" t="s">
        <v>125</v>
      </c>
      <c r="F85" s="910">
        <v>22810</v>
      </c>
      <c r="G85" s="910">
        <f t="shared" si="2"/>
        <v>22810</v>
      </c>
      <c r="H85" s="911">
        <f t="shared" si="0"/>
        <v>0</v>
      </c>
    </row>
    <row r="86" spans="1:10" s="912" customFormat="1" x14ac:dyDescent="0.2">
      <c r="A86" s="907">
        <v>76</v>
      </c>
      <c r="B86" s="2049" t="s">
        <v>65</v>
      </c>
      <c r="C86" s="2049"/>
      <c r="D86" s="916" t="s">
        <v>66</v>
      </c>
      <c r="E86" s="919" t="s">
        <v>125</v>
      </c>
      <c r="F86" s="910">
        <v>4525.45</v>
      </c>
      <c r="G86" s="910">
        <f t="shared" si="2"/>
        <v>4525.45</v>
      </c>
      <c r="H86" s="911">
        <f t="shared" si="0"/>
        <v>0</v>
      </c>
    </row>
    <row r="87" spans="1:10" s="912" customFormat="1" ht="25.5" customHeight="1" x14ac:dyDescent="0.2">
      <c r="A87" s="913">
        <v>77</v>
      </c>
      <c r="B87" s="2049" t="s">
        <v>272</v>
      </c>
      <c r="C87" s="2049"/>
      <c r="D87" s="916" t="s">
        <v>274</v>
      </c>
      <c r="E87" s="919" t="s">
        <v>125</v>
      </c>
      <c r="F87" s="910">
        <v>142136631</v>
      </c>
      <c r="G87" s="910">
        <f t="shared" si="2"/>
        <v>142136631</v>
      </c>
      <c r="H87" s="911">
        <f t="shared" si="0"/>
        <v>0</v>
      </c>
    </row>
    <row r="88" spans="1:10" s="912" customFormat="1" x14ac:dyDescent="0.2">
      <c r="A88" s="907">
        <v>78</v>
      </c>
      <c r="B88" s="2049" t="s">
        <v>273</v>
      </c>
      <c r="C88" s="2049"/>
      <c r="D88" s="916" t="s">
        <v>275</v>
      </c>
      <c r="E88" s="919" t="s">
        <v>125</v>
      </c>
      <c r="F88" s="910">
        <v>846779481</v>
      </c>
      <c r="G88" s="910">
        <f t="shared" si="2"/>
        <v>846779481</v>
      </c>
      <c r="H88" s="911">
        <f t="shared" si="0"/>
        <v>0</v>
      </c>
    </row>
    <row r="89" spans="1:10" s="912" customFormat="1" ht="25.5" customHeight="1" x14ac:dyDescent="0.2">
      <c r="A89" s="907">
        <v>79</v>
      </c>
      <c r="B89" s="2049" t="s">
        <v>389</v>
      </c>
      <c r="C89" s="2049"/>
      <c r="D89" s="916" t="s">
        <v>67</v>
      </c>
      <c r="E89" s="918" t="s">
        <v>122</v>
      </c>
      <c r="F89" s="910">
        <v>7124</v>
      </c>
      <c r="G89" s="910">
        <v>7124</v>
      </c>
      <c r="H89" s="911">
        <f t="shared" si="0"/>
        <v>0</v>
      </c>
    </row>
    <row r="90" spans="1:10" s="912" customFormat="1" x14ac:dyDescent="0.2">
      <c r="A90" s="913">
        <v>80</v>
      </c>
      <c r="B90" s="2049" t="s">
        <v>390</v>
      </c>
      <c r="C90" s="2049"/>
      <c r="D90" s="916" t="s">
        <v>68</v>
      </c>
      <c r="E90" s="909" t="s">
        <v>122</v>
      </c>
      <c r="F90" s="910">
        <v>9336770.5199999996</v>
      </c>
      <c r="G90" s="910">
        <v>9353088.8499999996</v>
      </c>
      <c r="H90" s="911">
        <f t="shared" si="0"/>
        <v>-16318.330000000075</v>
      </c>
    </row>
    <row r="91" spans="1:10" s="912" customFormat="1" x14ac:dyDescent="0.2">
      <c r="A91" s="907">
        <v>81</v>
      </c>
      <c r="B91" s="2049" t="s">
        <v>315</v>
      </c>
      <c r="C91" s="2049"/>
      <c r="D91" s="916" t="s">
        <v>425</v>
      </c>
      <c r="E91" s="919" t="s">
        <v>125</v>
      </c>
      <c r="F91" s="910">
        <v>51000</v>
      </c>
      <c r="G91" s="910">
        <f>F91</f>
        <v>51000</v>
      </c>
      <c r="H91" s="911">
        <f t="shared" ref="H91:H96" si="3">F91-G91</f>
        <v>0</v>
      </c>
    </row>
    <row r="92" spans="1:10" s="912" customFormat="1" x14ac:dyDescent="0.2">
      <c r="A92" s="907">
        <v>82</v>
      </c>
      <c r="B92" s="2049" t="s">
        <v>69</v>
      </c>
      <c r="C92" s="2049"/>
      <c r="D92" s="916" t="s">
        <v>434</v>
      </c>
      <c r="E92" s="919" t="s">
        <v>125</v>
      </c>
      <c r="F92" s="910">
        <v>21115627852.830002</v>
      </c>
      <c r="G92" s="910">
        <f>F92</f>
        <v>21115627852.830002</v>
      </c>
      <c r="H92" s="911">
        <f t="shared" si="3"/>
        <v>0</v>
      </c>
      <c r="J92" s="920"/>
    </row>
    <row r="93" spans="1:10" s="912" customFormat="1" x14ac:dyDescent="0.2">
      <c r="A93" s="913">
        <v>83</v>
      </c>
      <c r="B93" s="2039" t="s">
        <v>435</v>
      </c>
      <c r="C93" s="2055"/>
      <c r="D93" s="916" t="s">
        <v>426</v>
      </c>
      <c r="E93" s="918" t="s">
        <v>125</v>
      </c>
      <c r="F93" s="910">
        <v>0</v>
      </c>
      <c r="G93" s="910">
        <f>F93</f>
        <v>0</v>
      </c>
      <c r="H93" s="911">
        <f t="shared" si="3"/>
        <v>0</v>
      </c>
    </row>
    <row r="94" spans="1:10" s="912" customFormat="1" ht="35.25" customHeight="1" x14ac:dyDescent="0.2">
      <c r="A94" s="907">
        <v>84</v>
      </c>
      <c r="B94" s="2051" t="s">
        <v>1098</v>
      </c>
      <c r="C94" s="2052"/>
      <c r="D94" s="916" t="s">
        <v>757</v>
      </c>
      <c r="E94" s="918" t="s">
        <v>125</v>
      </c>
      <c r="F94" s="910">
        <v>4409351.2</v>
      </c>
      <c r="G94" s="910">
        <f>F94</f>
        <v>4409351.2</v>
      </c>
      <c r="H94" s="911">
        <f t="shared" si="3"/>
        <v>0</v>
      </c>
    </row>
    <row r="95" spans="1:10" s="912" customFormat="1" ht="13.5" thickBot="1" x14ac:dyDescent="0.25">
      <c r="A95" s="934">
        <v>85</v>
      </c>
      <c r="B95" s="2053" t="s">
        <v>730</v>
      </c>
      <c r="C95" s="2053"/>
      <c r="D95" s="921" t="s">
        <v>391</v>
      </c>
      <c r="E95" s="922" t="s">
        <v>125</v>
      </c>
      <c r="F95" s="917">
        <v>2396651</v>
      </c>
      <c r="G95" s="917">
        <f>F95</f>
        <v>2396651</v>
      </c>
      <c r="H95" s="923">
        <f t="shared" si="3"/>
        <v>0</v>
      </c>
    </row>
    <row r="96" spans="1:10" s="912" customFormat="1" ht="16.5" customHeight="1" thickBot="1" x14ac:dyDescent="0.25">
      <c r="A96" s="924"/>
      <c r="B96" s="2054" t="s">
        <v>436</v>
      </c>
      <c r="C96" s="2054"/>
      <c r="D96" s="925"/>
      <c r="E96" s="926"/>
      <c r="F96" s="935">
        <f>SUM(F6:F95)</f>
        <v>39571583069.419998</v>
      </c>
      <c r="G96" s="935">
        <f>SUM(G6:G95)</f>
        <v>39571620812.75</v>
      </c>
      <c r="H96" s="936">
        <f t="shared" si="3"/>
        <v>-37743.330001831055</v>
      </c>
    </row>
    <row r="97" spans="1:8" s="912" customFormat="1" ht="27" customHeight="1" x14ac:dyDescent="0.2">
      <c r="A97" s="927"/>
      <c r="B97" s="928"/>
      <c r="C97" s="928"/>
      <c r="D97" s="929"/>
      <c r="E97" s="930"/>
      <c r="F97" s="931"/>
      <c r="G97" s="932"/>
      <c r="H97" s="932"/>
    </row>
    <row r="98" spans="1:8" x14ac:dyDescent="0.2">
      <c r="B98" s="900"/>
      <c r="C98" s="900"/>
      <c r="D98" s="900"/>
      <c r="E98" s="900"/>
      <c r="F98" s="901"/>
      <c r="G98" s="900"/>
      <c r="H98" s="900"/>
    </row>
    <row r="99" spans="1:8" x14ac:dyDescent="0.2">
      <c r="B99" s="900"/>
      <c r="C99" s="900"/>
      <c r="D99" s="900"/>
      <c r="E99" s="900"/>
      <c r="F99" s="901"/>
      <c r="G99" s="900"/>
      <c r="H99" s="900"/>
    </row>
    <row r="100" spans="1:8" x14ac:dyDescent="0.2">
      <c r="B100" s="900"/>
      <c r="C100" s="900"/>
      <c r="D100" s="900"/>
      <c r="E100" s="900"/>
      <c r="F100" s="901"/>
      <c r="G100" s="900"/>
      <c r="H100" s="900"/>
    </row>
    <row r="101" spans="1:8" x14ac:dyDescent="0.2">
      <c r="B101" s="900"/>
      <c r="C101" s="900"/>
      <c r="D101" s="900"/>
      <c r="E101" s="900"/>
      <c r="F101" s="901"/>
      <c r="G101" s="900"/>
      <c r="H101" s="900"/>
    </row>
  </sheetData>
  <mergeCells count="90">
    <mergeCell ref="B94:C94"/>
    <mergeCell ref="B95:C95"/>
    <mergeCell ref="B96:C96"/>
    <mergeCell ref="B88:C88"/>
    <mergeCell ref="B89:C89"/>
    <mergeCell ref="B90:C90"/>
    <mergeCell ref="B91:C91"/>
    <mergeCell ref="B92:C92"/>
    <mergeCell ref="B93:C93"/>
    <mergeCell ref="B87:C87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75:C75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63:C63"/>
    <mergeCell ref="B47:C47"/>
    <mergeCell ref="B48:C48"/>
    <mergeCell ref="B49:C49"/>
    <mergeCell ref="B50:C50"/>
    <mergeCell ref="B51:C51"/>
    <mergeCell ref="B52:C52"/>
    <mergeCell ref="A55:H55"/>
    <mergeCell ref="B57:C57"/>
    <mergeCell ref="B58:C58"/>
    <mergeCell ref="B59:C59"/>
    <mergeCell ref="B60:C60"/>
    <mergeCell ref="B61:C61"/>
    <mergeCell ref="B62:C62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A3:H3"/>
    <mergeCell ref="B5:C5"/>
    <mergeCell ref="B6:C6"/>
    <mergeCell ref="B7:C7"/>
    <mergeCell ref="B8:C8"/>
    <mergeCell ref="B9:C9"/>
  </mergeCells>
  <printOptions horizontalCentered="1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/>
  <ignoredErrors>
    <ignoredError sqref="D58:D95 D6:D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N53"/>
  <sheetViews>
    <sheetView zoomScaleNormal="100" workbookViewId="0">
      <selection activeCell="N13" sqref="N13"/>
    </sheetView>
  </sheetViews>
  <sheetFormatPr defaultRowHeight="12.75" x14ac:dyDescent="0.2"/>
  <cols>
    <col min="1" max="1" width="3.7109375" style="38" customWidth="1"/>
    <col min="2" max="4" width="5.7109375" style="38" customWidth="1"/>
    <col min="5" max="5" width="49.28515625" style="38" customWidth="1"/>
    <col min="6" max="6" width="16.140625" style="38" customWidth="1"/>
    <col min="7" max="7" width="3.7109375" style="38" customWidth="1"/>
    <col min="8" max="9" width="10" style="38" bestFit="1" customWidth="1"/>
    <col min="10" max="10" width="9.140625" style="38"/>
    <col min="11" max="11" width="45" style="38" customWidth="1"/>
    <col min="12" max="16384" width="9.140625" style="38"/>
  </cols>
  <sheetData>
    <row r="1" spans="1:11" x14ac:dyDescent="0.2">
      <c r="A1" s="36"/>
      <c r="B1" s="37"/>
      <c r="C1" s="37"/>
      <c r="D1" s="37"/>
      <c r="E1" s="37"/>
      <c r="F1" s="1761">
        <v>1</v>
      </c>
      <c r="G1" s="1761"/>
      <c r="H1" s="36"/>
      <c r="I1" s="36"/>
      <c r="J1" s="36"/>
    </row>
    <row r="2" spans="1:11" x14ac:dyDescent="0.2">
      <c r="A2" s="36"/>
      <c r="B2" s="37"/>
      <c r="C2" s="37"/>
      <c r="D2" s="37"/>
      <c r="E2" s="37"/>
      <c r="F2" s="36"/>
      <c r="G2" s="36"/>
      <c r="H2" s="36"/>
      <c r="I2" s="36"/>
      <c r="J2" s="36"/>
    </row>
    <row r="3" spans="1:11" ht="15.75" x14ac:dyDescent="0.25">
      <c r="A3" s="36"/>
      <c r="B3" s="1762" t="s">
        <v>828</v>
      </c>
      <c r="C3" s="1762"/>
      <c r="D3" s="1762"/>
      <c r="E3" s="1762"/>
      <c r="F3" s="1762"/>
      <c r="G3" s="36"/>
      <c r="H3" s="36"/>
      <c r="I3" s="36"/>
      <c r="J3" s="36"/>
    </row>
    <row r="4" spans="1:11" x14ac:dyDescent="0.2">
      <c r="A4" s="36"/>
      <c r="B4" s="39"/>
      <c r="C4" s="39"/>
      <c r="D4" s="39"/>
      <c r="E4" s="39"/>
      <c r="F4" s="36"/>
      <c r="G4" s="36"/>
      <c r="H4" s="36"/>
      <c r="I4" s="36"/>
      <c r="J4" s="36"/>
    </row>
    <row r="5" spans="1:11" ht="15.75" x14ac:dyDescent="0.25">
      <c r="A5" s="36"/>
      <c r="B5" s="1763" t="s">
        <v>823</v>
      </c>
      <c r="C5" s="1763"/>
      <c r="D5" s="1763"/>
      <c r="E5" s="1763"/>
      <c r="F5" s="1763"/>
      <c r="G5" s="36"/>
      <c r="H5" s="36"/>
      <c r="I5" s="36"/>
      <c r="J5" s="36"/>
    </row>
    <row r="6" spans="1:11" x14ac:dyDescent="0.2">
      <c r="A6" s="36"/>
      <c r="B6" s="40"/>
      <c r="C6" s="40"/>
      <c r="D6" s="40"/>
      <c r="E6" s="40"/>
      <c r="F6" s="36"/>
      <c r="G6" s="36"/>
      <c r="H6" s="36"/>
      <c r="I6" s="36"/>
      <c r="J6" s="36"/>
    </row>
    <row r="7" spans="1:11" x14ac:dyDescent="0.2">
      <c r="A7" s="36"/>
      <c r="B7" s="1764" t="s">
        <v>824</v>
      </c>
      <c r="C7" s="1764"/>
      <c r="D7" s="1764"/>
      <c r="E7" s="1764"/>
      <c r="F7" s="1764"/>
      <c r="G7" s="36"/>
      <c r="H7" s="36"/>
      <c r="I7" s="36"/>
      <c r="J7" s="36"/>
    </row>
    <row r="8" spans="1:11" ht="13.5" thickBot="1" x14ac:dyDescent="0.25">
      <c r="A8" s="36"/>
      <c r="B8" s="41"/>
      <c r="C8" s="42"/>
      <c r="D8" s="42"/>
      <c r="E8" s="42"/>
      <c r="F8" s="36"/>
      <c r="G8" s="36"/>
      <c r="H8" s="36"/>
      <c r="I8" s="36"/>
      <c r="J8" s="36"/>
    </row>
    <row r="9" spans="1:11" ht="12" customHeight="1" thickBot="1" x14ac:dyDescent="0.25">
      <c r="A9" s="36"/>
      <c r="B9" s="1765" t="s">
        <v>355</v>
      </c>
      <c r="C9" s="1766"/>
      <c r="D9" s="1766"/>
      <c r="E9" s="1766"/>
      <c r="F9" s="43" t="s">
        <v>70</v>
      </c>
      <c r="G9" s="36"/>
      <c r="H9" s="36"/>
      <c r="I9" s="36"/>
      <c r="J9" s="36"/>
    </row>
    <row r="10" spans="1:11" ht="12.95" customHeight="1" thickBot="1" x14ac:dyDescent="0.25">
      <c r="A10" s="44"/>
      <c r="B10" s="1753" t="s">
        <v>181</v>
      </c>
      <c r="C10" s="1754"/>
      <c r="D10" s="1754"/>
      <c r="E10" s="1754"/>
      <c r="F10" s="52">
        <f>+F11+F20+F26</f>
        <v>3059868.11</v>
      </c>
      <c r="G10" s="36"/>
      <c r="H10" s="36"/>
      <c r="I10" s="36"/>
      <c r="J10" s="45"/>
    </row>
    <row r="11" spans="1:11" ht="12.95" customHeight="1" x14ac:dyDescent="0.2">
      <c r="A11" s="36"/>
      <c r="B11" s="1779" t="s">
        <v>357</v>
      </c>
      <c r="C11" s="1755" t="s">
        <v>358</v>
      </c>
      <c r="D11" s="1756"/>
      <c r="E11" s="1756"/>
      <c r="F11" s="53">
        <f>SUM(F12:F19)</f>
        <v>2988900</v>
      </c>
      <c r="G11" s="36"/>
      <c r="H11" s="459"/>
      <c r="I11" s="37"/>
      <c r="J11" s="37"/>
      <c r="K11" s="460"/>
    </row>
    <row r="12" spans="1:11" ht="12.95" customHeight="1" x14ac:dyDescent="0.2">
      <c r="A12" s="36"/>
      <c r="B12" s="1778"/>
      <c r="C12" s="26" t="s">
        <v>359</v>
      </c>
      <c r="D12" s="1757" t="s">
        <v>360</v>
      </c>
      <c r="E12" s="1758"/>
      <c r="F12" s="642">
        <v>1785000</v>
      </c>
      <c r="G12" s="36"/>
      <c r="H12" s="36"/>
      <c r="I12" s="652"/>
      <c r="J12" s="37"/>
    </row>
    <row r="13" spans="1:11" ht="12.95" customHeight="1" x14ac:dyDescent="0.2">
      <c r="A13" s="36"/>
      <c r="B13" s="1778"/>
      <c r="C13" s="27"/>
      <c r="D13" s="1759" t="s">
        <v>361</v>
      </c>
      <c r="E13" s="1760"/>
      <c r="F13" s="642">
        <v>80000</v>
      </c>
      <c r="G13" s="36"/>
      <c r="H13" s="36"/>
      <c r="I13" s="652"/>
      <c r="J13" s="37"/>
    </row>
    <row r="14" spans="1:11" ht="12.95" customHeight="1" x14ac:dyDescent="0.2">
      <c r="A14" s="36"/>
      <c r="B14" s="1778"/>
      <c r="C14" s="27"/>
      <c r="D14" s="1759" t="s">
        <v>362</v>
      </c>
      <c r="E14" s="1760"/>
      <c r="F14" s="642">
        <v>7000</v>
      </c>
      <c r="G14" s="36"/>
      <c r="H14" s="36"/>
      <c r="I14" s="652"/>
      <c r="J14" s="37"/>
    </row>
    <row r="15" spans="1:11" ht="12.95" customHeight="1" x14ac:dyDescent="0.2">
      <c r="A15" s="36"/>
      <c r="B15" s="1778"/>
      <c r="C15" s="27"/>
      <c r="D15" s="1759" t="s">
        <v>363</v>
      </c>
      <c r="E15" s="1760"/>
      <c r="F15" s="642">
        <v>545000</v>
      </c>
      <c r="G15" s="36"/>
      <c r="H15" s="36"/>
      <c r="I15" s="652"/>
      <c r="J15" s="37"/>
    </row>
    <row r="16" spans="1:11" ht="12.95" customHeight="1" x14ac:dyDescent="0.2">
      <c r="A16" s="36"/>
      <c r="B16" s="1778"/>
      <c r="C16" s="27"/>
      <c r="D16" s="1759" t="s">
        <v>364</v>
      </c>
      <c r="E16" s="1760"/>
      <c r="F16" s="642">
        <v>553000</v>
      </c>
      <c r="G16" s="36"/>
      <c r="H16" s="36"/>
      <c r="I16" s="652"/>
      <c r="J16" s="37"/>
    </row>
    <row r="17" spans="1:14" ht="12.95" customHeight="1" x14ac:dyDescent="0.2">
      <c r="A17" s="36"/>
      <c r="B17" s="1778"/>
      <c r="C17" s="27"/>
      <c r="D17" s="1759" t="s">
        <v>365</v>
      </c>
      <c r="E17" s="1760"/>
      <c r="F17" s="54">
        <v>600</v>
      </c>
      <c r="G17" s="36"/>
      <c r="H17" s="36"/>
      <c r="I17" s="37"/>
      <c r="J17" s="37"/>
    </row>
    <row r="18" spans="1:14" ht="12.95" customHeight="1" x14ac:dyDescent="0.2">
      <c r="A18" s="36"/>
      <c r="B18" s="1778"/>
      <c r="C18" s="27"/>
      <c r="D18" s="1784" t="s">
        <v>826</v>
      </c>
      <c r="E18" s="1785"/>
      <c r="F18" s="54">
        <v>300</v>
      </c>
      <c r="G18" s="36"/>
      <c r="H18" s="36"/>
      <c r="I18" s="36"/>
      <c r="J18" s="37"/>
      <c r="K18" s="463"/>
      <c r="L18" s="464"/>
      <c r="M18" s="460"/>
      <c r="N18" s="460"/>
    </row>
    <row r="19" spans="1:14" ht="12.95" customHeight="1" x14ac:dyDescent="0.2">
      <c r="A19" s="36"/>
      <c r="B19" s="1770"/>
      <c r="C19" s="27"/>
      <c r="D19" s="1782" t="s">
        <v>825</v>
      </c>
      <c r="E19" s="1783"/>
      <c r="F19" s="57">
        <v>18000</v>
      </c>
      <c r="G19" s="36"/>
      <c r="H19" s="36"/>
      <c r="I19" s="36"/>
      <c r="J19" s="37"/>
      <c r="K19" s="463"/>
      <c r="L19" s="464"/>
      <c r="M19" s="460"/>
      <c r="N19" s="460"/>
    </row>
    <row r="20" spans="1:14" ht="12.95" customHeight="1" x14ac:dyDescent="0.2">
      <c r="A20" s="36"/>
      <c r="B20" s="1769" t="s">
        <v>357</v>
      </c>
      <c r="C20" s="1771" t="s">
        <v>366</v>
      </c>
      <c r="D20" s="1771"/>
      <c r="E20" s="1772"/>
      <c r="F20" s="55">
        <f>SUM(F21:F25)</f>
        <v>70968.109999999986</v>
      </c>
      <c r="G20" s="36"/>
      <c r="H20" s="36"/>
      <c r="I20" s="36"/>
      <c r="J20" s="36"/>
      <c r="K20" s="461"/>
      <c r="L20" s="460"/>
      <c r="M20" s="460"/>
      <c r="N20" s="460"/>
    </row>
    <row r="21" spans="1:14" ht="12.95" customHeight="1" x14ac:dyDescent="0.2">
      <c r="A21" s="36"/>
      <c r="B21" s="1778"/>
      <c r="C21" s="56" t="s">
        <v>359</v>
      </c>
      <c r="D21" s="1786" t="s">
        <v>368</v>
      </c>
      <c r="E21" s="1782"/>
      <c r="F21" s="57">
        <v>37004.649999999994</v>
      </c>
      <c r="G21" s="36"/>
      <c r="H21" s="36"/>
      <c r="I21" s="36"/>
      <c r="J21" s="36"/>
      <c r="K21" s="461"/>
      <c r="L21" s="460"/>
      <c r="M21" s="460"/>
      <c r="N21" s="460"/>
    </row>
    <row r="22" spans="1:14" ht="12.95" customHeight="1" x14ac:dyDescent="0.2">
      <c r="A22" s="36"/>
      <c r="B22" s="1778"/>
      <c r="C22" s="21"/>
      <c r="D22" s="1786" t="s">
        <v>370</v>
      </c>
      <c r="E22" s="1782"/>
      <c r="F22" s="57">
        <v>0</v>
      </c>
      <c r="G22" s="36"/>
      <c r="H22" s="459"/>
      <c r="I22" s="36"/>
      <c r="J22" s="36"/>
      <c r="K22" s="465"/>
      <c r="L22" s="466"/>
      <c r="M22" s="460"/>
      <c r="N22" s="460"/>
    </row>
    <row r="23" spans="1:14" ht="12.95" customHeight="1" x14ac:dyDescent="0.2">
      <c r="A23" s="36"/>
      <c r="B23" s="1778"/>
      <c r="C23" s="21"/>
      <c r="D23" s="1782" t="s">
        <v>200</v>
      </c>
      <c r="E23" s="1783"/>
      <c r="F23" s="57">
        <v>0</v>
      </c>
      <c r="G23" s="36"/>
      <c r="H23" s="36"/>
      <c r="I23" s="36"/>
      <c r="J23" s="36"/>
      <c r="K23" s="463"/>
      <c r="L23" s="467"/>
      <c r="M23" s="460"/>
      <c r="N23" s="460"/>
    </row>
    <row r="24" spans="1:14" ht="12.95" customHeight="1" x14ac:dyDescent="0.2">
      <c r="A24" s="36"/>
      <c r="B24" s="1778"/>
      <c r="C24" s="21"/>
      <c r="D24" s="28" t="s">
        <v>636</v>
      </c>
      <c r="E24" s="255"/>
      <c r="F24" s="57">
        <v>19303.46</v>
      </c>
      <c r="G24" s="36"/>
      <c r="H24" s="36"/>
      <c r="I24" s="36"/>
      <c r="J24" s="36"/>
      <c r="K24" s="468"/>
      <c r="L24" s="464"/>
      <c r="M24" s="460"/>
      <c r="N24" s="460"/>
    </row>
    <row r="25" spans="1:14" ht="12.95" customHeight="1" x14ac:dyDescent="0.2">
      <c r="A25" s="36"/>
      <c r="B25" s="1770"/>
      <c r="C25" s="21"/>
      <c r="D25" s="1786" t="s">
        <v>183</v>
      </c>
      <c r="E25" s="1782"/>
      <c r="F25" s="57">
        <v>14660</v>
      </c>
      <c r="G25" s="36"/>
      <c r="H25" s="36"/>
      <c r="I25" s="36"/>
      <c r="J25" s="36"/>
      <c r="K25" s="468"/>
      <c r="L25" s="464"/>
      <c r="M25" s="460"/>
      <c r="N25" s="460"/>
    </row>
    <row r="26" spans="1:14" ht="12.95" customHeight="1" x14ac:dyDescent="0.2">
      <c r="A26" s="36"/>
      <c r="B26" s="1778" t="s">
        <v>357</v>
      </c>
      <c r="C26" s="1771" t="s">
        <v>202</v>
      </c>
      <c r="D26" s="1771"/>
      <c r="E26" s="1772"/>
      <c r="F26" s="55">
        <f>+F27</f>
        <v>0</v>
      </c>
      <c r="G26" s="36"/>
      <c r="H26" s="36"/>
      <c r="I26" s="459"/>
      <c r="J26" s="36"/>
      <c r="K26" s="468"/>
      <c r="L26" s="464"/>
      <c r="M26" s="460"/>
      <c r="N26" s="460"/>
    </row>
    <row r="27" spans="1:14" ht="12.95" customHeight="1" thickBot="1" x14ac:dyDescent="0.25">
      <c r="A27" s="36"/>
      <c r="B27" s="1773"/>
      <c r="C27" s="29" t="s">
        <v>203</v>
      </c>
      <c r="D27" s="1774" t="s">
        <v>184</v>
      </c>
      <c r="E27" s="1775"/>
      <c r="F27" s="58">
        <v>0</v>
      </c>
      <c r="G27" s="36"/>
      <c r="H27" s="36"/>
      <c r="I27" s="36"/>
      <c r="J27" s="36"/>
      <c r="K27" s="468"/>
      <c r="L27" s="464"/>
      <c r="M27" s="460"/>
      <c r="N27" s="460"/>
    </row>
    <row r="28" spans="1:14" ht="12.95" customHeight="1" x14ac:dyDescent="0.2">
      <c r="A28" s="36"/>
      <c r="B28" s="46"/>
      <c r="C28" s="47"/>
      <c r="D28" s="47"/>
      <c r="E28" s="47"/>
      <c r="F28" s="48"/>
      <c r="G28" s="37"/>
      <c r="H28" s="36"/>
      <c r="I28" s="459"/>
      <c r="J28" s="36"/>
      <c r="K28" s="468"/>
      <c r="L28" s="464"/>
      <c r="M28" s="460"/>
      <c r="N28" s="460"/>
    </row>
    <row r="29" spans="1:14" ht="12" customHeight="1" thickBot="1" x14ac:dyDescent="0.25">
      <c r="A29" s="36"/>
      <c r="B29" s="46"/>
      <c r="C29" s="47"/>
      <c r="D29" s="47"/>
      <c r="E29" s="47"/>
      <c r="F29" s="49"/>
      <c r="G29" s="37"/>
      <c r="H29" s="36"/>
      <c r="I29" s="36"/>
      <c r="J29" s="36"/>
      <c r="K29" s="468"/>
      <c r="L29" s="464"/>
      <c r="M29" s="460"/>
      <c r="N29" s="460"/>
    </row>
    <row r="30" spans="1:14" ht="12" customHeight="1" thickBot="1" x14ac:dyDescent="0.25">
      <c r="A30" s="36"/>
      <c r="B30" s="1765" t="s">
        <v>355</v>
      </c>
      <c r="C30" s="1766"/>
      <c r="D30" s="1766"/>
      <c r="E30" s="1766"/>
      <c r="F30" s="43" t="s">
        <v>70</v>
      </c>
      <c r="G30" s="36"/>
      <c r="H30" s="36"/>
      <c r="I30" s="36"/>
      <c r="J30" s="36"/>
      <c r="K30" s="461"/>
      <c r="L30" s="460"/>
      <c r="M30" s="460"/>
      <c r="N30" s="460"/>
    </row>
    <row r="31" spans="1:14" ht="12.95" customHeight="1" thickBot="1" x14ac:dyDescent="0.25">
      <c r="A31" s="36"/>
      <c r="B31" s="1753" t="s">
        <v>185</v>
      </c>
      <c r="C31" s="1754"/>
      <c r="D31" s="1754"/>
      <c r="E31" s="1754"/>
      <c r="F31" s="52">
        <f>+F32+F34+F36</f>
        <v>127608.88</v>
      </c>
      <c r="G31" s="36"/>
      <c r="H31" s="36"/>
      <c r="I31" s="36"/>
      <c r="J31" s="36"/>
      <c r="K31" s="461"/>
      <c r="L31" s="460"/>
      <c r="M31" s="460"/>
      <c r="N31" s="460"/>
    </row>
    <row r="32" spans="1:14" ht="12.95" customHeight="1" x14ac:dyDescent="0.2">
      <c r="A32" s="36"/>
      <c r="B32" s="1779" t="s">
        <v>357</v>
      </c>
      <c r="C32" s="1755" t="s">
        <v>186</v>
      </c>
      <c r="D32" s="1756"/>
      <c r="E32" s="1756"/>
      <c r="F32" s="53">
        <f>F33</f>
        <v>100038</v>
      </c>
      <c r="G32" s="36"/>
      <c r="H32" s="36"/>
      <c r="I32" s="36"/>
      <c r="J32" s="36"/>
      <c r="K32" s="461"/>
      <c r="L32" s="460"/>
      <c r="M32" s="460"/>
      <c r="N32" s="460"/>
    </row>
    <row r="33" spans="1:14" ht="12.95" customHeight="1" x14ac:dyDescent="0.2">
      <c r="A33" s="36"/>
      <c r="B33" s="1778"/>
      <c r="C33" s="26" t="s">
        <v>359</v>
      </c>
      <c r="D33" s="1780" t="s">
        <v>205</v>
      </c>
      <c r="E33" s="1781"/>
      <c r="F33" s="643">
        <v>100038</v>
      </c>
      <c r="G33" s="36"/>
      <c r="H33" s="36"/>
      <c r="I33" s="36"/>
      <c r="J33" s="36"/>
      <c r="K33" s="463"/>
      <c r="L33" s="467"/>
      <c r="M33" s="460"/>
      <c r="N33" s="460"/>
    </row>
    <row r="34" spans="1:14" ht="12.95" customHeight="1" x14ac:dyDescent="0.2">
      <c r="A34" s="36"/>
      <c r="B34" s="1769" t="s">
        <v>357</v>
      </c>
      <c r="C34" s="1771" t="s">
        <v>187</v>
      </c>
      <c r="D34" s="1771"/>
      <c r="E34" s="1772"/>
      <c r="F34" s="55">
        <f>SUM(F35:F35)</f>
        <v>27570.880000000001</v>
      </c>
      <c r="G34" s="36"/>
      <c r="H34" s="36"/>
      <c r="I34" s="36"/>
      <c r="J34" s="36"/>
      <c r="K34" s="463"/>
      <c r="L34" s="467"/>
      <c r="M34" s="460"/>
      <c r="N34" s="460"/>
    </row>
    <row r="35" spans="1:14" ht="12.95" customHeight="1" x14ac:dyDescent="0.2">
      <c r="A35" s="36"/>
      <c r="B35" s="1770"/>
      <c r="C35" s="30" t="s">
        <v>359</v>
      </c>
      <c r="D35" s="1759" t="s">
        <v>206</v>
      </c>
      <c r="E35" s="1760"/>
      <c r="F35" s="740">
        <v>27570.880000000001</v>
      </c>
      <c r="G35" s="36"/>
      <c r="H35" s="36"/>
      <c r="I35" s="36"/>
      <c r="J35" s="36"/>
      <c r="K35" s="461"/>
      <c r="L35" s="462"/>
      <c r="M35" s="460"/>
      <c r="N35" s="460"/>
    </row>
    <row r="36" spans="1:14" ht="12.95" customHeight="1" x14ac:dyDescent="0.2">
      <c r="A36" s="36"/>
      <c r="B36" s="1769" t="s">
        <v>357</v>
      </c>
      <c r="C36" s="1771" t="s">
        <v>220</v>
      </c>
      <c r="D36" s="1771"/>
      <c r="E36" s="1772"/>
      <c r="F36" s="739">
        <f>SUM(F37:F37)</f>
        <v>0</v>
      </c>
      <c r="G36" s="36"/>
      <c r="H36" s="36"/>
      <c r="I36" s="36"/>
      <c r="J36" s="36"/>
      <c r="K36" s="461"/>
      <c r="L36" s="460"/>
      <c r="M36" s="460"/>
      <c r="N36" s="460"/>
    </row>
    <row r="37" spans="1:14" ht="12.95" customHeight="1" thickBot="1" x14ac:dyDescent="0.25">
      <c r="A37" s="36"/>
      <c r="B37" s="1773"/>
      <c r="C37" s="29" t="s">
        <v>359</v>
      </c>
      <c r="D37" s="1774" t="s">
        <v>40</v>
      </c>
      <c r="E37" s="1775"/>
      <c r="F37" s="59">
        <v>0</v>
      </c>
      <c r="G37" s="36"/>
      <c r="H37" s="36"/>
      <c r="I37" s="36"/>
      <c r="J37" s="36"/>
      <c r="K37" s="461"/>
      <c r="L37" s="460"/>
      <c r="M37" s="460"/>
      <c r="N37" s="460"/>
    </row>
    <row r="38" spans="1:14" ht="12.95" customHeight="1" thickBot="1" x14ac:dyDescent="0.25">
      <c r="A38" s="36"/>
      <c r="B38" s="1753" t="s">
        <v>257</v>
      </c>
      <c r="C38" s="1754"/>
      <c r="D38" s="1754"/>
      <c r="E38" s="1754"/>
      <c r="F38" s="60">
        <f>F39</f>
        <v>90000</v>
      </c>
      <c r="G38" s="36"/>
      <c r="H38" s="36"/>
      <c r="I38" s="36"/>
      <c r="J38" s="36"/>
      <c r="K38" s="461"/>
      <c r="L38" s="460"/>
      <c r="M38" s="460"/>
      <c r="N38" s="460"/>
    </row>
    <row r="39" spans="1:14" ht="12.95" customHeight="1" thickBot="1" x14ac:dyDescent="0.25">
      <c r="A39" s="36"/>
      <c r="B39" s="61"/>
      <c r="C39" s="62" t="s">
        <v>359</v>
      </c>
      <c r="D39" s="1776" t="s">
        <v>831</v>
      </c>
      <c r="E39" s="1777"/>
      <c r="F39" s="58">
        <v>90000</v>
      </c>
      <c r="G39" s="36"/>
      <c r="H39" s="36"/>
      <c r="I39" s="36"/>
      <c r="J39" s="36"/>
      <c r="K39" s="461"/>
      <c r="L39" s="460"/>
      <c r="M39" s="460"/>
      <c r="N39" s="460"/>
    </row>
    <row r="40" spans="1:14" ht="12.95" customHeight="1" x14ac:dyDescent="0.2">
      <c r="A40" s="36"/>
      <c r="B40" s="46"/>
      <c r="C40" s="47"/>
      <c r="D40" s="47"/>
      <c r="E40" s="47"/>
      <c r="F40" s="48"/>
      <c r="G40" s="36"/>
      <c r="H40" s="36"/>
      <c r="I40" s="36"/>
      <c r="J40" s="36"/>
      <c r="K40" s="461"/>
      <c r="L40" s="460"/>
      <c r="M40" s="460"/>
      <c r="N40" s="460"/>
    </row>
    <row r="41" spans="1:14" ht="12" customHeight="1" thickBot="1" x14ac:dyDescent="0.25">
      <c r="A41" s="37"/>
      <c r="B41" s="46"/>
      <c r="C41" s="47"/>
      <c r="D41" s="47"/>
      <c r="E41" s="47"/>
      <c r="F41" s="49"/>
      <c r="G41" s="37"/>
      <c r="H41" s="36"/>
      <c r="I41" s="36"/>
      <c r="J41" s="36"/>
    </row>
    <row r="42" spans="1:14" ht="12" customHeight="1" thickBot="1" x14ac:dyDescent="0.25">
      <c r="A42" s="37"/>
      <c r="B42" s="1765" t="s">
        <v>355</v>
      </c>
      <c r="C42" s="1766"/>
      <c r="D42" s="1766"/>
      <c r="E42" s="1766"/>
      <c r="F42" s="43" t="s">
        <v>70</v>
      </c>
      <c r="G42" s="37"/>
      <c r="H42" s="36"/>
      <c r="I42" s="36"/>
      <c r="J42" s="36"/>
    </row>
    <row r="43" spans="1:14" s="332" customFormat="1" ht="17.25" customHeight="1" thickBot="1" x14ac:dyDescent="0.25">
      <c r="A43" s="329"/>
      <c r="B43" s="1767" t="s">
        <v>827</v>
      </c>
      <c r="C43" s="1768"/>
      <c r="D43" s="1768"/>
      <c r="E43" s="1768"/>
      <c r="F43" s="330">
        <f>F10+F31+F38</f>
        <v>3277476.9899999998</v>
      </c>
      <c r="G43" s="329"/>
      <c r="H43" s="331"/>
      <c r="I43" s="578"/>
      <c r="J43" s="578"/>
      <c r="K43" s="340"/>
    </row>
    <row r="44" spans="1:14" ht="12" customHeight="1" x14ac:dyDescent="0.2">
      <c r="A44" s="37"/>
      <c r="B44" s="46"/>
      <c r="C44" s="47"/>
      <c r="D44" s="47"/>
      <c r="E44" s="47"/>
      <c r="F44" s="36"/>
      <c r="G44" s="37"/>
      <c r="H44" s="36"/>
      <c r="I44" s="36"/>
      <c r="J44" s="36"/>
    </row>
    <row r="45" spans="1:14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4" x14ac:dyDescent="0.2">
      <c r="A46" s="36"/>
      <c r="B46" s="36"/>
      <c r="C46" s="36"/>
      <c r="D46" s="36"/>
      <c r="E46" s="36"/>
      <c r="F46" s="459"/>
      <c r="G46" s="36"/>
      <c r="H46" s="36"/>
      <c r="I46" s="36"/>
      <c r="J46" s="36"/>
    </row>
    <row r="47" spans="1:14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4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0" x14ac:dyDescent="0.2">
      <c r="A53" s="36"/>
      <c r="B53" s="36"/>
      <c r="C53" s="36"/>
      <c r="D53" s="36"/>
      <c r="E53" s="36"/>
      <c r="G53" s="36"/>
      <c r="H53" s="36"/>
      <c r="I53" s="36"/>
      <c r="J53" s="36"/>
    </row>
  </sheetData>
  <mergeCells count="40">
    <mergeCell ref="B32:B33"/>
    <mergeCell ref="C32:E32"/>
    <mergeCell ref="D33:E33"/>
    <mergeCell ref="D19:E19"/>
    <mergeCell ref="B11:B19"/>
    <mergeCell ref="D18:E18"/>
    <mergeCell ref="D14:E14"/>
    <mergeCell ref="D15:E15"/>
    <mergeCell ref="D16:E16"/>
    <mergeCell ref="B20:B25"/>
    <mergeCell ref="C20:E20"/>
    <mergeCell ref="D21:E21"/>
    <mergeCell ref="D22:E22"/>
    <mergeCell ref="D23:E23"/>
    <mergeCell ref="D25:E25"/>
    <mergeCell ref="D17:E17"/>
    <mergeCell ref="B26:B27"/>
    <mergeCell ref="C26:E26"/>
    <mergeCell ref="D27:E27"/>
    <mergeCell ref="B30:E30"/>
    <mergeCell ref="B31:E31"/>
    <mergeCell ref="B43:E43"/>
    <mergeCell ref="B34:B35"/>
    <mergeCell ref="C34:E34"/>
    <mergeCell ref="D35:E35"/>
    <mergeCell ref="B36:B37"/>
    <mergeCell ref="C36:E36"/>
    <mergeCell ref="D37:E37"/>
    <mergeCell ref="B42:E42"/>
    <mergeCell ref="B38:E38"/>
    <mergeCell ref="D39:E39"/>
    <mergeCell ref="B10:E10"/>
    <mergeCell ref="C11:E11"/>
    <mergeCell ref="D12:E12"/>
    <mergeCell ref="D13:E13"/>
    <mergeCell ref="F1:G1"/>
    <mergeCell ref="B3:F3"/>
    <mergeCell ref="B5:F5"/>
    <mergeCell ref="B7:F7"/>
    <mergeCell ref="B9:E9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1020-37EA-4D38-BCC9-DF8172D57F74}">
  <sheetPr>
    <tabColor theme="7" tint="0.59999389629810485"/>
  </sheetPr>
  <dimension ref="A1:Q25"/>
  <sheetViews>
    <sheetView zoomScale="101" zoomScaleNormal="101" workbookViewId="0">
      <selection activeCell="K24" sqref="K24"/>
    </sheetView>
  </sheetViews>
  <sheetFormatPr defaultRowHeight="12.75" x14ac:dyDescent="0.2"/>
  <cols>
    <col min="1" max="1" width="6" style="879" customWidth="1"/>
    <col min="2" max="2" width="4" style="879" bestFit="1" customWidth="1"/>
    <col min="3" max="3" width="8.7109375" style="879" customWidth="1"/>
    <col min="4" max="4" width="16.7109375" style="879" customWidth="1"/>
    <col min="5" max="5" width="6.7109375" style="879" customWidth="1"/>
    <col min="6" max="6" width="10.7109375" style="879" customWidth="1"/>
    <col min="7" max="7" width="7.5703125" style="879" customWidth="1"/>
    <col min="8" max="8" width="9.85546875" style="879" customWidth="1"/>
    <col min="9" max="9" width="7" style="879" bestFit="1" customWidth="1"/>
    <col min="10" max="10" width="15" style="879" bestFit="1" customWidth="1"/>
    <col min="11" max="11" width="15.85546875" style="879" bestFit="1" customWidth="1"/>
    <col min="12" max="12" width="14.28515625" style="879" customWidth="1"/>
    <col min="13" max="13" width="13.42578125" style="879" customWidth="1"/>
    <col min="14" max="15" width="15" style="879" bestFit="1" customWidth="1"/>
    <col min="16" max="16" width="13" style="879" customWidth="1"/>
    <col min="17" max="17" width="17.28515625" style="879" customWidth="1"/>
    <col min="18" max="257" width="9.140625" style="879"/>
    <col min="258" max="258" width="6.85546875" style="879" customWidth="1"/>
    <col min="259" max="259" width="8.7109375" style="879" customWidth="1"/>
    <col min="260" max="260" width="16.7109375" style="879" customWidth="1"/>
    <col min="261" max="261" width="9.140625" style="879"/>
    <col min="262" max="262" width="10.7109375" style="879" customWidth="1"/>
    <col min="263" max="263" width="9.140625" style="879"/>
    <col min="264" max="264" width="9.85546875" style="879" customWidth="1"/>
    <col min="265" max="265" width="9.140625" style="879"/>
    <col min="266" max="267" width="14.85546875" style="879" bestFit="1" customWidth="1"/>
    <col min="268" max="268" width="13.42578125" style="879" bestFit="1" customWidth="1"/>
    <col min="269" max="269" width="13.42578125" style="879" customWidth="1"/>
    <col min="270" max="271" width="14.85546875" style="879" bestFit="1" customWidth="1"/>
    <col min="272" max="272" width="13" style="879" customWidth="1"/>
    <col min="273" max="273" width="15.42578125" style="879" bestFit="1" customWidth="1"/>
    <col min="274" max="513" width="9.140625" style="879"/>
    <col min="514" max="514" width="6.85546875" style="879" customWidth="1"/>
    <col min="515" max="515" width="8.7109375" style="879" customWidth="1"/>
    <col min="516" max="516" width="16.7109375" style="879" customWidth="1"/>
    <col min="517" max="517" width="9.140625" style="879"/>
    <col min="518" max="518" width="10.7109375" style="879" customWidth="1"/>
    <col min="519" max="519" width="9.140625" style="879"/>
    <col min="520" max="520" width="9.85546875" style="879" customWidth="1"/>
    <col min="521" max="521" width="9.140625" style="879"/>
    <col min="522" max="523" width="14.85546875" style="879" bestFit="1" customWidth="1"/>
    <col min="524" max="524" width="13.42578125" style="879" bestFit="1" customWidth="1"/>
    <col min="525" max="525" width="13.42578125" style="879" customWidth="1"/>
    <col min="526" max="527" width="14.85546875" style="879" bestFit="1" customWidth="1"/>
    <col min="528" max="528" width="13" style="879" customWidth="1"/>
    <col min="529" max="529" width="15.42578125" style="879" bestFit="1" customWidth="1"/>
    <col min="530" max="769" width="9.140625" style="879"/>
    <col min="770" max="770" width="6.85546875" style="879" customWidth="1"/>
    <col min="771" max="771" width="8.7109375" style="879" customWidth="1"/>
    <col min="772" max="772" width="16.7109375" style="879" customWidth="1"/>
    <col min="773" max="773" width="9.140625" style="879"/>
    <col min="774" max="774" width="10.7109375" style="879" customWidth="1"/>
    <col min="775" max="775" width="9.140625" style="879"/>
    <col min="776" max="776" width="9.85546875" style="879" customWidth="1"/>
    <col min="777" max="777" width="9.140625" style="879"/>
    <col min="778" max="779" width="14.85546875" style="879" bestFit="1" customWidth="1"/>
    <col min="780" max="780" width="13.42578125" style="879" bestFit="1" customWidth="1"/>
    <col min="781" max="781" width="13.42578125" style="879" customWidth="1"/>
    <col min="782" max="783" width="14.85546875" style="879" bestFit="1" customWidth="1"/>
    <col min="784" max="784" width="13" style="879" customWidth="1"/>
    <col min="785" max="785" width="15.42578125" style="879" bestFit="1" customWidth="1"/>
    <col min="786" max="1025" width="9.140625" style="879"/>
    <col min="1026" max="1026" width="6.85546875" style="879" customWidth="1"/>
    <col min="1027" max="1027" width="8.7109375" style="879" customWidth="1"/>
    <col min="1028" max="1028" width="16.7109375" style="879" customWidth="1"/>
    <col min="1029" max="1029" width="9.140625" style="879"/>
    <col min="1030" max="1030" width="10.7109375" style="879" customWidth="1"/>
    <col min="1031" max="1031" width="9.140625" style="879"/>
    <col min="1032" max="1032" width="9.85546875" style="879" customWidth="1"/>
    <col min="1033" max="1033" width="9.140625" style="879"/>
    <col min="1034" max="1035" width="14.85546875" style="879" bestFit="1" customWidth="1"/>
    <col min="1036" max="1036" width="13.42578125" style="879" bestFit="1" customWidth="1"/>
    <col min="1037" max="1037" width="13.42578125" style="879" customWidth="1"/>
    <col min="1038" max="1039" width="14.85546875" style="879" bestFit="1" customWidth="1"/>
    <col min="1040" max="1040" width="13" style="879" customWidth="1"/>
    <col min="1041" max="1041" width="15.42578125" style="879" bestFit="1" customWidth="1"/>
    <col min="1042" max="1281" width="9.140625" style="879"/>
    <col min="1282" max="1282" width="6.85546875" style="879" customWidth="1"/>
    <col min="1283" max="1283" width="8.7109375" style="879" customWidth="1"/>
    <col min="1284" max="1284" width="16.7109375" style="879" customWidth="1"/>
    <col min="1285" max="1285" width="9.140625" style="879"/>
    <col min="1286" max="1286" width="10.7109375" style="879" customWidth="1"/>
    <col min="1287" max="1287" width="9.140625" style="879"/>
    <col min="1288" max="1288" width="9.85546875" style="879" customWidth="1"/>
    <col min="1289" max="1289" width="9.140625" style="879"/>
    <col min="1290" max="1291" width="14.85546875" style="879" bestFit="1" customWidth="1"/>
    <col min="1292" max="1292" width="13.42578125" style="879" bestFit="1" customWidth="1"/>
    <col min="1293" max="1293" width="13.42578125" style="879" customWidth="1"/>
    <col min="1294" max="1295" width="14.85546875" style="879" bestFit="1" customWidth="1"/>
    <col min="1296" max="1296" width="13" style="879" customWidth="1"/>
    <col min="1297" max="1297" width="15.42578125" style="879" bestFit="1" customWidth="1"/>
    <col min="1298" max="1537" width="9.140625" style="879"/>
    <col min="1538" max="1538" width="6.85546875" style="879" customWidth="1"/>
    <col min="1539" max="1539" width="8.7109375" style="879" customWidth="1"/>
    <col min="1540" max="1540" width="16.7109375" style="879" customWidth="1"/>
    <col min="1541" max="1541" width="9.140625" style="879"/>
    <col min="1542" max="1542" width="10.7109375" style="879" customWidth="1"/>
    <col min="1543" max="1543" width="9.140625" style="879"/>
    <col min="1544" max="1544" width="9.85546875" style="879" customWidth="1"/>
    <col min="1545" max="1545" width="9.140625" style="879"/>
    <col min="1546" max="1547" width="14.85546875" style="879" bestFit="1" customWidth="1"/>
    <col min="1548" max="1548" width="13.42578125" style="879" bestFit="1" customWidth="1"/>
    <col min="1549" max="1549" width="13.42578125" style="879" customWidth="1"/>
    <col min="1550" max="1551" width="14.85546875" style="879" bestFit="1" customWidth="1"/>
    <col min="1552" max="1552" width="13" style="879" customWidth="1"/>
    <col min="1553" max="1553" width="15.42578125" style="879" bestFit="1" customWidth="1"/>
    <col min="1554" max="1793" width="9.140625" style="879"/>
    <col min="1794" max="1794" width="6.85546875" style="879" customWidth="1"/>
    <col min="1795" max="1795" width="8.7109375" style="879" customWidth="1"/>
    <col min="1796" max="1796" width="16.7109375" style="879" customWidth="1"/>
    <col min="1797" max="1797" width="9.140625" style="879"/>
    <col min="1798" max="1798" width="10.7109375" style="879" customWidth="1"/>
    <col min="1799" max="1799" width="9.140625" style="879"/>
    <col min="1800" max="1800" width="9.85546875" style="879" customWidth="1"/>
    <col min="1801" max="1801" width="9.140625" style="879"/>
    <col min="1802" max="1803" width="14.85546875" style="879" bestFit="1" customWidth="1"/>
    <col min="1804" max="1804" width="13.42578125" style="879" bestFit="1" customWidth="1"/>
    <col min="1805" max="1805" width="13.42578125" style="879" customWidth="1"/>
    <col min="1806" max="1807" width="14.85546875" style="879" bestFit="1" customWidth="1"/>
    <col min="1808" max="1808" width="13" style="879" customWidth="1"/>
    <col min="1809" max="1809" width="15.42578125" style="879" bestFit="1" customWidth="1"/>
    <col min="1810" max="2049" width="9.140625" style="879"/>
    <col min="2050" max="2050" width="6.85546875" style="879" customWidth="1"/>
    <col min="2051" max="2051" width="8.7109375" style="879" customWidth="1"/>
    <col min="2052" max="2052" width="16.7109375" style="879" customWidth="1"/>
    <col min="2053" max="2053" width="9.140625" style="879"/>
    <col min="2054" max="2054" width="10.7109375" style="879" customWidth="1"/>
    <col min="2055" max="2055" width="9.140625" style="879"/>
    <col min="2056" max="2056" width="9.85546875" style="879" customWidth="1"/>
    <col min="2057" max="2057" width="9.140625" style="879"/>
    <col min="2058" max="2059" width="14.85546875" style="879" bestFit="1" customWidth="1"/>
    <col min="2060" max="2060" width="13.42578125" style="879" bestFit="1" customWidth="1"/>
    <col min="2061" max="2061" width="13.42578125" style="879" customWidth="1"/>
    <col min="2062" max="2063" width="14.85546875" style="879" bestFit="1" customWidth="1"/>
    <col min="2064" max="2064" width="13" style="879" customWidth="1"/>
    <col min="2065" max="2065" width="15.42578125" style="879" bestFit="1" customWidth="1"/>
    <col min="2066" max="2305" width="9.140625" style="879"/>
    <col min="2306" max="2306" width="6.85546875" style="879" customWidth="1"/>
    <col min="2307" max="2307" width="8.7109375" style="879" customWidth="1"/>
    <col min="2308" max="2308" width="16.7109375" style="879" customWidth="1"/>
    <col min="2309" max="2309" width="9.140625" style="879"/>
    <col min="2310" max="2310" width="10.7109375" style="879" customWidth="1"/>
    <col min="2311" max="2311" width="9.140625" style="879"/>
    <col min="2312" max="2312" width="9.85546875" style="879" customWidth="1"/>
    <col min="2313" max="2313" width="9.140625" style="879"/>
    <col min="2314" max="2315" width="14.85546875" style="879" bestFit="1" customWidth="1"/>
    <col min="2316" max="2316" width="13.42578125" style="879" bestFit="1" customWidth="1"/>
    <col min="2317" max="2317" width="13.42578125" style="879" customWidth="1"/>
    <col min="2318" max="2319" width="14.85546875" style="879" bestFit="1" customWidth="1"/>
    <col min="2320" max="2320" width="13" style="879" customWidth="1"/>
    <col min="2321" max="2321" width="15.42578125" style="879" bestFit="1" customWidth="1"/>
    <col min="2322" max="2561" width="9.140625" style="879"/>
    <col min="2562" max="2562" width="6.85546875" style="879" customWidth="1"/>
    <col min="2563" max="2563" width="8.7109375" style="879" customWidth="1"/>
    <col min="2564" max="2564" width="16.7109375" style="879" customWidth="1"/>
    <col min="2565" max="2565" width="9.140625" style="879"/>
    <col min="2566" max="2566" width="10.7109375" style="879" customWidth="1"/>
    <col min="2567" max="2567" width="9.140625" style="879"/>
    <col min="2568" max="2568" width="9.85546875" style="879" customWidth="1"/>
    <col min="2569" max="2569" width="9.140625" style="879"/>
    <col min="2570" max="2571" width="14.85546875" style="879" bestFit="1" customWidth="1"/>
    <col min="2572" max="2572" width="13.42578125" style="879" bestFit="1" customWidth="1"/>
    <col min="2573" max="2573" width="13.42578125" style="879" customWidth="1"/>
    <col min="2574" max="2575" width="14.85546875" style="879" bestFit="1" customWidth="1"/>
    <col min="2576" max="2576" width="13" style="879" customWidth="1"/>
    <col min="2577" max="2577" width="15.42578125" style="879" bestFit="1" customWidth="1"/>
    <col min="2578" max="2817" width="9.140625" style="879"/>
    <col min="2818" max="2818" width="6.85546875" style="879" customWidth="1"/>
    <col min="2819" max="2819" width="8.7109375" style="879" customWidth="1"/>
    <col min="2820" max="2820" width="16.7109375" style="879" customWidth="1"/>
    <col min="2821" max="2821" width="9.140625" style="879"/>
    <col min="2822" max="2822" width="10.7109375" style="879" customWidth="1"/>
    <col min="2823" max="2823" width="9.140625" style="879"/>
    <col min="2824" max="2824" width="9.85546875" style="879" customWidth="1"/>
    <col min="2825" max="2825" width="9.140625" style="879"/>
    <col min="2826" max="2827" width="14.85546875" style="879" bestFit="1" customWidth="1"/>
    <col min="2828" max="2828" width="13.42578125" style="879" bestFit="1" customWidth="1"/>
    <col min="2829" max="2829" width="13.42578125" style="879" customWidth="1"/>
    <col min="2830" max="2831" width="14.85546875" style="879" bestFit="1" customWidth="1"/>
    <col min="2832" max="2832" width="13" style="879" customWidth="1"/>
    <col min="2833" max="2833" width="15.42578125" style="879" bestFit="1" customWidth="1"/>
    <col min="2834" max="3073" width="9.140625" style="879"/>
    <col min="3074" max="3074" width="6.85546875" style="879" customWidth="1"/>
    <col min="3075" max="3075" width="8.7109375" style="879" customWidth="1"/>
    <col min="3076" max="3076" width="16.7109375" style="879" customWidth="1"/>
    <col min="3077" max="3077" width="9.140625" style="879"/>
    <col min="3078" max="3078" width="10.7109375" style="879" customWidth="1"/>
    <col min="3079" max="3079" width="9.140625" style="879"/>
    <col min="3080" max="3080" width="9.85546875" style="879" customWidth="1"/>
    <col min="3081" max="3081" width="9.140625" style="879"/>
    <col min="3082" max="3083" width="14.85546875" style="879" bestFit="1" customWidth="1"/>
    <col min="3084" max="3084" width="13.42578125" style="879" bestFit="1" customWidth="1"/>
    <col min="3085" max="3085" width="13.42578125" style="879" customWidth="1"/>
    <col min="3086" max="3087" width="14.85546875" style="879" bestFit="1" customWidth="1"/>
    <col min="3088" max="3088" width="13" style="879" customWidth="1"/>
    <col min="3089" max="3089" width="15.42578125" style="879" bestFit="1" customWidth="1"/>
    <col min="3090" max="3329" width="9.140625" style="879"/>
    <col min="3330" max="3330" width="6.85546875" style="879" customWidth="1"/>
    <col min="3331" max="3331" width="8.7109375" style="879" customWidth="1"/>
    <col min="3332" max="3332" width="16.7109375" style="879" customWidth="1"/>
    <col min="3333" max="3333" width="9.140625" style="879"/>
    <col min="3334" max="3334" width="10.7109375" style="879" customWidth="1"/>
    <col min="3335" max="3335" width="9.140625" style="879"/>
    <col min="3336" max="3336" width="9.85546875" style="879" customWidth="1"/>
    <col min="3337" max="3337" width="9.140625" style="879"/>
    <col min="3338" max="3339" width="14.85546875" style="879" bestFit="1" customWidth="1"/>
    <col min="3340" max="3340" width="13.42578125" style="879" bestFit="1" customWidth="1"/>
    <col min="3341" max="3341" width="13.42578125" style="879" customWidth="1"/>
    <col min="3342" max="3343" width="14.85546875" style="879" bestFit="1" customWidth="1"/>
    <col min="3344" max="3344" width="13" style="879" customWidth="1"/>
    <col min="3345" max="3345" width="15.42578125" style="879" bestFit="1" customWidth="1"/>
    <col min="3346" max="3585" width="9.140625" style="879"/>
    <col min="3586" max="3586" width="6.85546875" style="879" customWidth="1"/>
    <col min="3587" max="3587" width="8.7109375" style="879" customWidth="1"/>
    <col min="3588" max="3588" width="16.7109375" style="879" customWidth="1"/>
    <col min="3589" max="3589" width="9.140625" style="879"/>
    <col min="3590" max="3590" width="10.7109375" style="879" customWidth="1"/>
    <col min="3591" max="3591" width="9.140625" style="879"/>
    <col min="3592" max="3592" width="9.85546875" style="879" customWidth="1"/>
    <col min="3593" max="3593" width="9.140625" style="879"/>
    <col min="3594" max="3595" width="14.85546875" style="879" bestFit="1" customWidth="1"/>
    <col min="3596" max="3596" width="13.42578125" style="879" bestFit="1" customWidth="1"/>
    <col min="3597" max="3597" width="13.42578125" style="879" customWidth="1"/>
    <col min="3598" max="3599" width="14.85546875" style="879" bestFit="1" customWidth="1"/>
    <col min="3600" max="3600" width="13" style="879" customWidth="1"/>
    <col min="3601" max="3601" width="15.42578125" style="879" bestFit="1" customWidth="1"/>
    <col min="3602" max="3841" width="9.140625" style="879"/>
    <col min="3842" max="3842" width="6.85546875" style="879" customWidth="1"/>
    <col min="3843" max="3843" width="8.7109375" style="879" customWidth="1"/>
    <col min="3844" max="3844" width="16.7109375" style="879" customWidth="1"/>
    <col min="3845" max="3845" width="9.140625" style="879"/>
    <col min="3846" max="3846" width="10.7109375" style="879" customWidth="1"/>
    <col min="3847" max="3847" width="9.140625" style="879"/>
    <col min="3848" max="3848" width="9.85546875" style="879" customWidth="1"/>
    <col min="3849" max="3849" width="9.140625" style="879"/>
    <col min="3850" max="3851" width="14.85546875" style="879" bestFit="1" customWidth="1"/>
    <col min="3852" max="3852" width="13.42578125" style="879" bestFit="1" customWidth="1"/>
    <col min="3853" max="3853" width="13.42578125" style="879" customWidth="1"/>
    <col min="3854" max="3855" width="14.85546875" style="879" bestFit="1" customWidth="1"/>
    <col min="3856" max="3856" width="13" style="879" customWidth="1"/>
    <col min="3857" max="3857" width="15.42578125" style="879" bestFit="1" customWidth="1"/>
    <col min="3858" max="4097" width="9.140625" style="879"/>
    <col min="4098" max="4098" width="6.85546875" style="879" customWidth="1"/>
    <col min="4099" max="4099" width="8.7109375" style="879" customWidth="1"/>
    <col min="4100" max="4100" width="16.7109375" style="879" customWidth="1"/>
    <col min="4101" max="4101" width="9.140625" style="879"/>
    <col min="4102" max="4102" width="10.7109375" style="879" customWidth="1"/>
    <col min="4103" max="4103" width="9.140625" style="879"/>
    <col min="4104" max="4104" width="9.85546875" style="879" customWidth="1"/>
    <col min="4105" max="4105" width="9.140625" style="879"/>
    <col min="4106" max="4107" width="14.85546875" style="879" bestFit="1" customWidth="1"/>
    <col min="4108" max="4108" width="13.42578125" style="879" bestFit="1" customWidth="1"/>
    <col min="4109" max="4109" width="13.42578125" style="879" customWidth="1"/>
    <col min="4110" max="4111" width="14.85546875" style="879" bestFit="1" customWidth="1"/>
    <col min="4112" max="4112" width="13" style="879" customWidth="1"/>
    <col min="4113" max="4113" width="15.42578125" style="879" bestFit="1" customWidth="1"/>
    <col min="4114" max="4353" width="9.140625" style="879"/>
    <col min="4354" max="4354" width="6.85546875" style="879" customWidth="1"/>
    <col min="4355" max="4355" width="8.7109375" style="879" customWidth="1"/>
    <col min="4356" max="4356" width="16.7109375" style="879" customWidth="1"/>
    <col min="4357" max="4357" width="9.140625" style="879"/>
    <col min="4358" max="4358" width="10.7109375" style="879" customWidth="1"/>
    <col min="4359" max="4359" width="9.140625" style="879"/>
    <col min="4360" max="4360" width="9.85546875" style="879" customWidth="1"/>
    <col min="4361" max="4361" width="9.140625" style="879"/>
    <col min="4362" max="4363" width="14.85546875" style="879" bestFit="1" customWidth="1"/>
    <col min="4364" max="4364" width="13.42578125" style="879" bestFit="1" customWidth="1"/>
    <col min="4365" max="4365" width="13.42578125" style="879" customWidth="1"/>
    <col min="4366" max="4367" width="14.85546875" style="879" bestFit="1" customWidth="1"/>
    <col min="4368" max="4368" width="13" style="879" customWidth="1"/>
    <col min="4369" max="4369" width="15.42578125" style="879" bestFit="1" customWidth="1"/>
    <col min="4370" max="4609" width="9.140625" style="879"/>
    <col min="4610" max="4610" width="6.85546875" style="879" customWidth="1"/>
    <col min="4611" max="4611" width="8.7109375" style="879" customWidth="1"/>
    <col min="4612" max="4612" width="16.7109375" style="879" customWidth="1"/>
    <col min="4613" max="4613" width="9.140625" style="879"/>
    <col min="4614" max="4614" width="10.7109375" style="879" customWidth="1"/>
    <col min="4615" max="4615" width="9.140625" style="879"/>
    <col min="4616" max="4616" width="9.85546875" style="879" customWidth="1"/>
    <col min="4617" max="4617" width="9.140625" style="879"/>
    <col min="4618" max="4619" width="14.85546875" style="879" bestFit="1" customWidth="1"/>
    <col min="4620" max="4620" width="13.42578125" style="879" bestFit="1" customWidth="1"/>
    <col min="4621" max="4621" width="13.42578125" style="879" customWidth="1"/>
    <col min="4622" max="4623" width="14.85546875" style="879" bestFit="1" customWidth="1"/>
    <col min="4624" max="4624" width="13" style="879" customWidth="1"/>
    <col min="4625" max="4625" width="15.42578125" style="879" bestFit="1" customWidth="1"/>
    <col min="4626" max="4865" width="9.140625" style="879"/>
    <col min="4866" max="4866" width="6.85546875" style="879" customWidth="1"/>
    <col min="4867" max="4867" width="8.7109375" style="879" customWidth="1"/>
    <col min="4868" max="4868" width="16.7109375" style="879" customWidth="1"/>
    <col min="4869" max="4869" width="9.140625" style="879"/>
    <col min="4870" max="4870" width="10.7109375" style="879" customWidth="1"/>
    <col min="4871" max="4871" width="9.140625" style="879"/>
    <col min="4872" max="4872" width="9.85546875" style="879" customWidth="1"/>
    <col min="4873" max="4873" width="9.140625" style="879"/>
    <col min="4874" max="4875" width="14.85546875" style="879" bestFit="1" customWidth="1"/>
    <col min="4876" max="4876" width="13.42578125" style="879" bestFit="1" customWidth="1"/>
    <col min="4877" max="4877" width="13.42578125" style="879" customWidth="1"/>
    <col min="4878" max="4879" width="14.85546875" style="879" bestFit="1" customWidth="1"/>
    <col min="4880" max="4880" width="13" style="879" customWidth="1"/>
    <col min="4881" max="4881" width="15.42578125" style="879" bestFit="1" customWidth="1"/>
    <col min="4882" max="5121" width="9.140625" style="879"/>
    <col min="5122" max="5122" width="6.85546875" style="879" customWidth="1"/>
    <col min="5123" max="5123" width="8.7109375" style="879" customWidth="1"/>
    <col min="5124" max="5124" width="16.7109375" style="879" customWidth="1"/>
    <col min="5125" max="5125" width="9.140625" style="879"/>
    <col min="5126" max="5126" width="10.7109375" style="879" customWidth="1"/>
    <col min="5127" max="5127" width="9.140625" style="879"/>
    <col min="5128" max="5128" width="9.85546875" style="879" customWidth="1"/>
    <col min="5129" max="5129" width="9.140625" style="879"/>
    <col min="5130" max="5131" width="14.85546875" style="879" bestFit="1" customWidth="1"/>
    <col min="5132" max="5132" width="13.42578125" style="879" bestFit="1" customWidth="1"/>
    <col min="5133" max="5133" width="13.42578125" style="879" customWidth="1"/>
    <col min="5134" max="5135" width="14.85546875" style="879" bestFit="1" customWidth="1"/>
    <col min="5136" max="5136" width="13" style="879" customWidth="1"/>
    <col min="5137" max="5137" width="15.42578125" style="879" bestFit="1" customWidth="1"/>
    <col min="5138" max="5377" width="9.140625" style="879"/>
    <col min="5378" max="5378" width="6.85546875" style="879" customWidth="1"/>
    <col min="5379" max="5379" width="8.7109375" style="879" customWidth="1"/>
    <col min="5380" max="5380" width="16.7109375" style="879" customWidth="1"/>
    <col min="5381" max="5381" width="9.140625" style="879"/>
    <col min="5382" max="5382" width="10.7109375" style="879" customWidth="1"/>
    <col min="5383" max="5383" width="9.140625" style="879"/>
    <col min="5384" max="5384" width="9.85546875" style="879" customWidth="1"/>
    <col min="5385" max="5385" width="9.140625" style="879"/>
    <col min="5386" max="5387" width="14.85546875" style="879" bestFit="1" customWidth="1"/>
    <col min="5388" max="5388" width="13.42578125" style="879" bestFit="1" customWidth="1"/>
    <col min="5389" max="5389" width="13.42578125" style="879" customWidth="1"/>
    <col min="5390" max="5391" width="14.85546875" style="879" bestFit="1" customWidth="1"/>
    <col min="5392" max="5392" width="13" style="879" customWidth="1"/>
    <col min="5393" max="5393" width="15.42578125" style="879" bestFit="1" customWidth="1"/>
    <col min="5394" max="5633" width="9.140625" style="879"/>
    <col min="5634" max="5634" width="6.85546875" style="879" customWidth="1"/>
    <col min="5635" max="5635" width="8.7109375" style="879" customWidth="1"/>
    <col min="5636" max="5636" width="16.7109375" style="879" customWidth="1"/>
    <col min="5637" max="5637" width="9.140625" style="879"/>
    <col min="5638" max="5638" width="10.7109375" style="879" customWidth="1"/>
    <col min="5639" max="5639" width="9.140625" style="879"/>
    <col min="5640" max="5640" width="9.85546875" style="879" customWidth="1"/>
    <col min="5641" max="5641" width="9.140625" style="879"/>
    <col min="5642" max="5643" width="14.85546875" style="879" bestFit="1" customWidth="1"/>
    <col min="5644" max="5644" width="13.42578125" style="879" bestFit="1" customWidth="1"/>
    <col min="5645" max="5645" width="13.42578125" style="879" customWidth="1"/>
    <col min="5646" max="5647" width="14.85546875" style="879" bestFit="1" customWidth="1"/>
    <col min="5648" max="5648" width="13" style="879" customWidth="1"/>
    <col min="5649" max="5649" width="15.42578125" style="879" bestFit="1" customWidth="1"/>
    <col min="5650" max="5889" width="9.140625" style="879"/>
    <col min="5890" max="5890" width="6.85546875" style="879" customWidth="1"/>
    <col min="5891" max="5891" width="8.7109375" style="879" customWidth="1"/>
    <col min="5892" max="5892" width="16.7109375" style="879" customWidth="1"/>
    <col min="5893" max="5893" width="9.140625" style="879"/>
    <col min="5894" max="5894" width="10.7109375" style="879" customWidth="1"/>
    <col min="5895" max="5895" width="9.140625" style="879"/>
    <col min="5896" max="5896" width="9.85546875" style="879" customWidth="1"/>
    <col min="5897" max="5897" width="9.140625" style="879"/>
    <col min="5898" max="5899" width="14.85546875" style="879" bestFit="1" customWidth="1"/>
    <col min="5900" max="5900" width="13.42578125" style="879" bestFit="1" customWidth="1"/>
    <col min="5901" max="5901" width="13.42578125" style="879" customWidth="1"/>
    <col min="5902" max="5903" width="14.85546875" style="879" bestFit="1" customWidth="1"/>
    <col min="5904" max="5904" width="13" style="879" customWidth="1"/>
    <col min="5905" max="5905" width="15.42578125" style="879" bestFit="1" customWidth="1"/>
    <col min="5906" max="6145" width="9.140625" style="879"/>
    <col min="6146" max="6146" width="6.85546875" style="879" customWidth="1"/>
    <col min="6147" max="6147" width="8.7109375" style="879" customWidth="1"/>
    <col min="6148" max="6148" width="16.7109375" style="879" customWidth="1"/>
    <col min="6149" max="6149" width="9.140625" style="879"/>
    <col min="6150" max="6150" width="10.7109375" style="879" customWidth="1"/>
    <col min="6151" max="6151" width="9.140625" style="879"/>
    <col min="6152" max="6152" width="9.85546875" style="879" customWidth="1"/>
    <col min="6153" max="6153" width="9.140625" style="879"/>
    <col min="6154" max="6155" width="14.85546875" style="879" bestFit="1" customWidth="1"/>
    <col min="6156" max="6156" width="13.42578125" style="879" bestFit="1" customWidth="1"/>
    <col min="6157" max="6157" width="13.42578125" style="879" customWidth="1"/>
    <col min="6158" max="6159" width="14.85546875" style="879" bestFit="1" customWidth="1"/>
    <col min="6160" max="6160" width="13" style="879" customWidth="1"/>
    <col min="6161" max="6161" width="15.42578125" style="879" bestFit="1" customWidth="1"/>
    <col min="6162" max="6401" width="9.140625" style="879"/>
    <col min="6402" max="6402" width="6.85546875" style="879" customWidth="1"/>
    <col min="6403" max="6403" width="8.7109375" style="879" customWidth="1"/>
    <col min="6404" max="6404" width="16.7109375" style="879" customWidth="1"/>
    <col min="6405" max="6405" width="9.140625" style="879"/>
    <col min="6406" max="6406" width="10.7109375" style="879" customWidth="1"/>
    <col min="6407" max="6407" width="9.140625" style="879"/>
    <col min="6408" max="6408" width="9.85546875" style="879" customWidth="1"/>
    <col min="6409" max="6409" width="9.140625" style="879"/>
    <col min="6410" max="6411" width="14.85546875" style="879" bestFit="1" customWidth="1"/>
    <col min="6412" max="6412" width="13.42578125" style="879" bestFit="1" customWidth="1"/>
    <col min="6413" max="6413" width="13.42578125" style="879" customWidth="1"/>
    <col min="6414" max="6415" width="14.85546875" style="879" bestFit="1" customWidth="1"/>
    <col min="6416" max="6416" width="13" style="879" customWidth="1"/>
    <col min="6417" max="6417" width="15.42578125" style="879" bestFit="1" customWidth="1"/>
    <col min="6418" max="6657" width="9.140625" style="879"/>
    <col min="6658" max="6658" width="6.85546875" style="879" customWidth="1"/>
    <col min="6659" max="6659" width="8.7109375" style="879" customWidth="1"/>
    <col min="6660" max="6660" width="16.7109375" style="879" customWidth="1"/>
    <col min="6661" max="6661" width="9.140625" style="879"/>
    <col min="6662" max="6662" width="10.7109375" style="879" customWidth="1"/>
    <col min="6663" max="6663" width="9.140625" style="879"/>
    <col min="6664" max="6664" width="9.85546875" style="879" customWidth="1"/>
    <col min="6665" max="6665" width="9.140625" style="879"/>
    <col min="6666" max="6667" width="14.85546875" style="879" bestFit="1" customWidth="1"/>
    <col min="6668" max="6668" width="13.42578125" style="879" bestFit="1" customWidth="1"/>
    <col min="6669" max="6669" width="13.42578125" style="879" customWidth="1"/>
    <col min="6670" max="6671" width="14.85546875" style="879" bestFit="1" customWidth="1"/>
    <col min="6672" max="6672" width="13" style="879" customWidth="1"/>
    <col min="6673" max="6673" width="15.42578125" style="879" bestFit="1" customWidth="1"/>
    <col min="6674" max="6913" width="9.140625" style="879"/>
    <col min="6914" max="6914" width="6.85546875" style="879" customWidth="1"/>
    <col min="6915" max="6915" width="8.7109375" style="879" customWidth="1"/>
    <col min="6916" max="6916" width="16.7109375" style="879" customWidth="1"/>
    <col min="6917" max="6917" width="9.140625" style="879"/>
    <col min="6918" max="6918" width="10.7109375" style="879" customWidth="1"/>
    <col min="6919" max="6919" width="9.140625" style="879"/>
    <col min="6920" max="6920" width="9.85546875" style="879" customWidth="1"/>
    <col min="6921" max="6921" width="9.140625" style="879"/>
    <col min="6922" max="6923" width="14.85546875" style="879" bestFit="1" customWidth="1"/>
    <col min="6924" max="6924" width="13.42578125" style="879" bestFit="1" customWidth="1"/>
    <col min="6925" max="6925" width="13.42578125" style="879" customWidth="1"/>
    <col min="6926" max="6927" width="14.85546875" style="879" bestFit="1" customWidth="1"/>
    <col min="6928" max="6928" width="13" style="879" customWidth="1"/>
    <col min="6929" max="6929" width="15.42578125" style="879" bestFit="1" customWidth="1"/>
    <col min="6930" max="7169" width="9.140625" style="879"/>
    <col min="7170" max="7170" width="6.85546875" style="879" customWidth="1"/>
    <col min="7171" max="7171" width="8.7109375" style="879" customWidth="1"/>
    <col min="7172" max="7172" width="16.7109375" style="879" customWidth="1"/>
    <col min="7173" max="7173" width="9.140625" style="879"/>
    <col min="7174" max="7174" width="10.7109375" style="879" customWidth="1"/>
    <col min="7175" max="7175" width="9.140625" style="879"/>
    <col min="7176" max="7176" width="9.85546875" style="879" customWidth="1"/>
    <col min="7177" max="7177" width="9.140625" style="879"/>
    <col min="7178" max="7179" width="14.85546875" style="879" bestFit="1" customWidth="1"/>
    <col min="7180" max="7180" width="13.42578125" style="879" bestFit="1" customWidth="1"/>
    <col min="7181" max="7181" width="13.42578125" style="879" customWidth="1"/>
    <col min="7182" max="7183" width="14.85546875" style="879" bestFit="1" customWidth="1"/>
    <col min="7184" max="7184" width="13" style="879" customWidth="1"/>
    <col min="7185" max="7185" width="15.42578125" style="879" bestFit="1" customWidth="1"/>
    <col min="7186" max="7425" width="9.140625" style="879"/>
    <col min="7426" max="7426" width="6.85546875" style="879" customWidth="1"/>
    <col min="7427" max="7427" width="8.7109375" style="879" customWidth="1"/>
    <col min="7428" max="7428" width="16.7109375" style="879" customWidth="1"/>
    <col min="7429" max="7429" width="9.140625" style="879"/>
    <col min="7430" max="7430" width="10.7109375" style="879" customWidth="1"/>
    <col min="7431" max="7431" width="9.140625" style="879"/>
    <col min="7432" max="7432" width="9.85546875" style="879" customWidth="1"/>
    <col min="7433" max="7433" width="9.140625" style="879"/>
    <col min="7434" max="7435" width="14.85546875" style="879" bestFit="1" customWidth="1"/>
    <col min="7436" max="7436" width="13.42578125" style="879" bestFit="1" customWidth="1"/>
    <col min="7437" max="7437" width="13.42578125" style="879" customWidth="1"/>
    <col min="7438" max="7439" width="14.85546875" style="879" bestFit="1" customWidth="1"/>
    <col min="7440" max="7440" width="13" style="879" customWidth="1"/>
    <col min="7441" max="7441" width="15.42578125" style="879" bestFit="1" customWidth="1"/>
    <col min="7442" max="7681" width="9.140625" style="879"/>
    <col min="7682" max="7682" width="6.85546875" style="879" customWidth="1"/>
    <col min="7683" max="7683" width="8.7109375" style="879" customWidth="1"/>
    <col min="7684" max="7684" width="16.7109375" style="879" customWidth="1"/>
    <col min="7685" max="7685" width="9.140625" style="879"/>
    <col min="7686" max="7686" width="10.7109375" style="879" customWidth="1"/>
    <col min="7687" max="7687" width="9.140625" style="879"/>
    <col min="7688" max="7688" width="9.85546875" style="879" customWidth="1"/>
    <col min="7689" max="7689" width="9.140625" style="879"/>
    <col min="7690" max="7691" width="14.85546875" style="879" bestFit="1" customWidth="1"/>
    <col min="7692" max="7692" width="13.42578125" style="879" bestFit="1" customWidth="1"/>
    <col min="7693" max="7693" width="13.42578125" style="879" customWidth="1"/>
    <col min="7694" max="7695" width="14.85546875" style="879" bestFit="1" customWidth="1"/>
    <col min="7696" max="7696" width="13" style="879" customWidth="1"/>
    <col min="7697" max="7697" width="15.42578125" style="879" bestFit="1" customWidth="1"/>
    <col min="7698" max="7937" width="9.140625" style="879"/>
    <col min="7938" max="7938" width="6.85546875" style="879" customWidth="1"/>
    <col min="7939" max="7939" width="8.7109375" style="879" customWidth="1"/>
    <col min="7940" max="7940" width="16.7109375" style="879" customWidth="1"/>
    <col min="7941" max="7941" width="9.140625" style="879"/>
    <col min="7942" max="7942" width="10.7109375" style="879" customWidth="1"/>
    <col min="7943" max="7943" width="9.140625" style="879"/>
    <col min="7944" max="7944" width="9.85546875" style="879" customWidth="1"/>
    <col min="7945" max="7945" width="9.140625" style="879"/>
    <col min="7946" max="7947" width="14.85546875" style="879" bestFit="1" customWidth="1"/>
    <col min="7948" max="7948" width="13.42578125" style="879" bestFit="1" customWidth="1"/>
    <col min="7949" max="7949" width="13.42578125" style="879" customWidth="1"/>
    <col min="7950" max="7951" width="14.85546875" style="879" bestFit="1" customWidth="1"/>
    <col min="7952" max="7952" width="13" style="879" customWidth="1"/>
    <col min="7953" max="7953" width="15.42578125" style="879" bestFit="1" customWidth="1"/>
    <col min="7954" max="8193" width="9.140625" style="879"/>
    <col min="8194" max="8194" width="6.85546875" style="879" customWidth="1"/>
    <col min="8195" max="8195" width="8.7109375" style="879" customWidth="1"/>
    <col min="8196" max="8196" width="16.7109375" style="879" customWidth="1"/>
    <col min="8197" max="8197" width="9.140625" style="879"/>
    <col min="8198" max="8198" width="10.7109375" style="879" customWidth="1"/>
    <col min="8199" max="8199" width="9.140625" style="879"/>
    <col min="8200" max="8200" width="9.85546875" style="879" customWidth="1"/>
    <col min="8201" max="8201" width="9.140625" style="879"/>
    <col min="8202" max="8203" width="14.85546875" style="879" bestFit="1" customWidth="1"/>
    <col min="8204" max="8204" width="13.42578125" style="879" bestFit="1" customWidth="1"/>
    <col min="8205" max="8205" width="13.42578125" style="879" customWidth="1"/>
    <col min="8206" max="8207" width="14.85546875" style="879" bestFit="1" customWidth="1"/>
    <col min="8208" max="8208" width="13" style="879" customWidth="1"/>
    <col min="8209" max="8209" width="15.42578125" style="879" bestFit="1" customWidth="1"/>
    <col min="8210" max="8449" width="9.140625" style="879"/>
    <col min="8450" max="8450" width="6.85546875" style="879" customWidth="1"/>
    <col min="8451" max="8451" width="8.7109375" style="879" customWidth="1"/>
    <col min="8452" max="8452" width="16.7109375" style="879" customWidth="1"/>
    <col min="8453" max="8453" width="9.140625" style="879"/>
    <col min="8454" max="8454" width="10.7109375" style="879" customWidth="1"/>
    <col min="8455" max="8455" width="9.140625" style="879"/>
    <col min="8456" max="8456" width="9.85546875" style="879" customWidth="1"/>
    <col min="8457" max="8457" width="9.140625" style="879"/>
    <col min="8458" max="8459" width="14.85546875" style="879" bestFit="1" customWidth="1"/>
    <col min="8460" max="8460" width="13.42578125" style="879" bestFit="1" customWidth="1"/>
    <col min="8461" max="8461" width="13.42578125" style="879" customWidth="1"/>
    <col min="8462" max="8463" width="14.85546875" style="879" bestFit="1" customWidth="1"/>
    <col min="8464" max="8464" width="13" style="879" customWidth="1"/>
    <col min="8465" max="8465" width="15.42578125" style="879" bestFit="1" customWidth="1"/>
    <col min="8466" max="8705" width="9.140625" style="879"/>
    <col min="8706" max="8706" width="6.85546875" style="879" customWidth="1"/>
    <col min="8707" max="8707" width="8.7109375" style="879" customWidth="1"/>
    <col min="8708" max="8708" width="16.7109375" style="879" customWidth="1"/>
    <col min="8709" max="8709" width="9.140625" style="879"/>
    <col min="8710" max="8710" width="10.7109375" style="879" customWidth="1"/>
    <col min="8711" max="8711" width="9.140625" style="879"/>
    <col min="8712" max="8712" width="9.85546875" style="879" customWidth="1"/>
    <col min="8713" max="8713" width="9.140625" style="879"/>
    <col min="8714" max="8715" width="14.85546875" style="879" bestFit="1" customWidth="1"/>
    <col min="8716" max="8716" width="13.42578125" style="879" bestFit="1" customWidth="1"/>
    <col min="8717" max="8717" width="13.42578125" style="879" customWidth="1"/>
    <col min="8718" max="8719" width="14.85546875" style="879" bestFit="1" customWidth="1"/>
    <col min="8720" max="8720" width="13" style="879" customWidth="1"/>
    <col min="8721" max="8721" width="15.42578125" style="879" bestFit="1" customWidth="1"/>
    <col min="8722" max="8961" width="9.140625" style="879"/>
    <col min="8962" max="8962" width="6.85546875" style="879" customWidth="1"/>
    <col min="8963" max="8963" width="8.7109375" style="879" customWidth="1"/>
    <col min="8964" max="8964" width="16.7109375" style="879" customWidth="1"/>
    <col min="8965" max="8965" width="9.140625" style="879"/>
    <col min="8966" max="8966" width="10.7109375" style="879" customWidth="1"/>
    <col min="8967" max="8967" width="9.140625" style="879"/>
    <col min="8968" max="8968" width="9.85546875" style="879" customWidth="1"/>
    <col min="8969" max="8969" width="9.140625" style="879"/>
    <col min="8970" max="8971" width="14.85546875" style="879" bestFit="1" customWidth="1"/>
    <col min="8972" max="8972" width="13.42578125" style="879" bestFit="1" customWidth="1"/>
    <col min="8973" max="8973" width="13.42578125" style="879" customWidth="1"/>
    <col min="8974" max="8975" width="14.85546875" style="879" bestFit="1" customWidth="1"/>
    <col min="8976" max="8976" width="13" style="879" customWidth="1"/>
    <col min="8977" max="8977" width="15.42578125" style="879" bestFit="1" customWidth="1"/>
    <col min="8978" max="9217" width="9.140625" style="879"/>
    <col min="9218" max="9218" width="6.85546875" style="879" customWidth="1"/>
    <col min="9219" max="9219" width="8.7109375" style="879" customWidth="1"/>
    <col min="9220" max="9220" width="16.7109375" style="879" customWidth="1"/>
    <col min="9221" max="9221" width="9.140625" style="879"/>
    <col min="9222" max="9222" width="10.7109375" style="879" customWidth="1"/>
    <col min="9223" max="9223" width="9.140625" style="879"/>
    <col min="9224" max="9224" width="9.85546875" style="879" customWidth="1"/>
    <col min="9225" max="9225" width="9.140625" style="879"/>
    <col min="9226" max="9227" width="14.85546875" style="879" bestFit="1" customWidth="1"/>
    <col min="9228" max="9228" width="13.42578125" style="879" bestFit="1" customWidth="1"/>
    <col min="9229" max="9229" width="13.42578125" style="879" customWidth="1"/>
    <col min="9230" max="9231" width="14.85546875" style="879" bestFit="1" customWidth="1"/>
    <col min="9232" max="9232" width="13" style="879" customWidth="1"/>
    <col min="9233" max="9233" width="15.42578125" style="879" bestFit="1" customWidth="1"/>
    <col min="9234" max="9473" width="9.140625" style="879"/>
    <col min="9474" max="9474" width="6.85546875" style="879" customWidth="1"/>
    <col min="9475" max="9475" width="8.7109375" style="879" customWidth="1"/>
    <col min="9476" max="9476" width="16.7109375" style="879" customWidth="1"/>
    <col min="9477" max="9477" width="9.140625" style="879"/>
    <col min="9478" max="9478" width="10.7109375" style="879" customWidth="1"/>
    <col min="9479" max="9479" width="9.140625" style="879"/>
    <col min="9480" max="9480" width="9.85546875" style="879" customWidth="1"/>
    <col min="9481" max="9481" width="9.140625" style="879"/>
    <col min="9482" max="9483" width="14.85546875" style="879" bestFit="1" customWidth="1"/>
    <col min="9484" max="9484" width="13.42578125" style="879" bestFit="1" customWidth="1"/>
    <col min="9485" max="9485" width="13.42578125" style="879" customWidth="1"/>
    <col min="9486" max="9487" width="14.85546875" style="879" bestFit="1" customWidth="1"/>
    <col min="9488" max="9488" width="13" style="879" customWidth="1"/>
    <col min="9489" max="9489" width="15.42578125" style="879" bestFit="1" customWidth="1"/>
    <col min="9490" max="9729" width="9.140625" style="879"/>
    <col min="9730" max="9730" width="6.85546875" style="879" customWidth="1"/>
    <col min="9731" max="9731" width="8.7109375" style="879" customWidth="1"/>
    <col min="9732" max="9732" width="16.7109375" style="879" customWidth="1"/>
    <col min="9733" max="9733" width="9.140625" style="879"/>
    <col min="9734" max="9734" width="10.7109375" style="879" customWidth="1"/>
    <col min="9735" max="9735" width="9.140625" style="879"/>
    <col min="9736" max="9736" width="9.85546875" style="879" customWidth="1"/>
    <col min="9737" max="9737" width="9.140625" style="879"/>
    <col min="9738" max="9739" width="14.85546875" style="879" bestFit="1" customWidth="1"/>
    <col min="9740" max="9740" width="13.42578125" style="879" bestFit="1" customWidth="1"/>
    <col min="9741" max="9741" width="13.42578125" style="879" customWidth="1"/>
    <col min="9742" max="9743" width="14.85546875" style="879" bestFit="1" customWidth="1"/>
    <col min="9744" max="9744" width="13" style="879" customWidth="1"/>
    <col min="9745" max="9745" width="15.42578125" style="879" bestFit="1" customWidth="1"/>
    <col min="9746" max="9985" width="9.140625" style="879"/>
    <col min="9986" max="9986" width="6.85546875" style="879" customWidth="1"/>
    <col min="9987" max="9987" width="8.7109375" style="879" customWidth="1"/>
    <col min="9988" max="9988" width="16.7109375" style="879" customWidth="1"/>
    <col min="9989" max="9989" width="9.140625" style="879"/>
    <col min="9990" max="9990" width="10.7109375" style="879" customWidth="1"/>
    <col min="9991" max="9991" width="9.140625" style="879"/>
    <col min="9992" max="9992" width="9.85546875" style="879" customWidth="1"/>
    <col min="9993" max="9993" width="9.140625" style="879"/>
    <col min="9994" max="9995" width="14.85546875" style="879" bestFit="1" customWidth="1"/>
    <col min="9996" max="9996" width="13.42578125" style="879" bestFit="1" customWidth="1"/>
    <col min="9997" max="9997" width="13.42578125" style="879" customWidth="1"/>
    <col min="9998" max="9999" width="14.85546875" style="879" bestFit="1" customWidth="1"/>
    <col min="10000" max="10000" width="13" style="879" customWidth="1"/>
    <col min="10001" max="10001" width="15.42578125" style="879" bestFit="1" customWidth="1"/>
    <col min="10002" max="10241" width="9.140625" style="879"/>
    <col min="10242" max="10242" width="6.85546875" style="879" customWidth="1"/>
    <col min="10243" max="10243" width="8.7109375" style="879" customWidth="1"/>
    <col min="10244" max="10244" width="16.7109375" style="879" customWidth="1"/>
    <col min="10245" max="10245" width="9.140625" style="879"/>
    <col min="10246" max="10246" width="10.7109375" style="879" customWidth="1"/>
    <col min="10247" max="10247" width="9.140625" style="879"/>
    <col min="10248" max="10248" width="9.85546875" style="879" customWidth="1"/>
    <col min="10249" max="10249" width="9.140625" style="879"/>
    <col min="10250" max="10251" width="14.85546875" style="879" bestFit="1" customWidth="1"/>
    <col min="10252" max="10252" width="13.42578125" style="879" bestFit="1" customWidth="1"/>
    <col min="10253" max="10253" width="13.42578125" style="879" customWidth="1"/>
    <col min="10254" max="10255" width="14.85546875" style="879" bestFit="1" customWidth="1"/>
    <col min="10256" max="10256" width="13" style="879" customWidth="1"/>
    <col min="10257" max="10257" width="15.42578125" style="879" bestFit="1" customWidth="1"/>
    <col min="10258" max="10497" width="9.140625" style="879"/>
    <col min="10498" max="10498" width="6.85546875" style="879" customWidth="1"/>
    <col min="10499" max="10499" width="8.7109375" style="879" customWidth="1"/>
    <col min="10500" max="10500" width="16.7109375" style="879" customWidth="1"/>
    <col min="10501" max="10501" width="9.140625" style="879"/>
    <col min="10502" max="10502" width="10.7109375" style="879" customWidth="1"/>
    <col min="10503" max="10503" width="9.140625" style="879"/>
    <col min="10504" max="10504" width="9.85546875" style="879" customWidth="1"/>
    <col min="10505" max="10505" width="9.140625" style="879"/>
    <col min="10506" max="10507" width="14.85546875" style="879" bestFit="1" customWidth="1"/>
    <col min="10508" max="10508" width="13.42578125" style="879" bestFit="1" customWidth="1"/>
    <col min="10509" max="10509" width="13.42578125" style="879" customWidth="1"/>
    <col min="10510" max="10511" width="14.85546875" style="879" bestFit="1" customWidth="1"/>
    <col min="10512" max="10512" width="13" style="879" customWidth="1"/>
    <col min="10513" max="10513" width="15.42578125" style="879" bestFit="1" customWidth="1"/>
    <col min="10514" max="10753" width="9.140625" style="879"/>
    <col min="10754" max="10754" width="6.85546875" style="879" customWidth="1"/>
    <col min="10755" max="10755" width="8.7109375" style="879" customWidth="1"/>
    <col min="10756" max="10756" width="16.7109375" style="879" customWidth="1"/>
    <col min="10757" max="10757" width="9.140625" style="879"/>
    <col min="10758" max="10758" width="10.7109375" style="879" customWidth="1"/>
    <col min="10759" max="10759" width="9.140625" style="879"/>
    <col min="10760" max="10760" width="9.85546875" style="879" customWidth="1"/>
    <col min="10761" max="10761" width="9.140625" style="879"/>
    <col min="10762" max="10763" width="14.85546875" style="879" bestFit="1" customWidth="1"/>
    <col min="10764" max="10764" width="13.42578125" style="879" bestFit="1" customWidth="1"/>
    <col min="10765" max="10765" width="13.42578125" style="879" customWidth="1"/>
    <col min="10766" max="10767" width="14.85546875" style="879" bestFit="1" customWidth="1"/>
    <col min="10768" max="10768" width="13" style="879" customWidth="1"/>
    <col min="10769" max="10769" width="15.42578125" style="879" bestFit="1" customWidth="1"/>
    <col min="10770" max="11009" width="9.140625" style="879"/>
    <col min="11010" max="11010" width="6.85546875" style="879" customWidth="1"/>
    <col min="11011" max="11011" width="8.7109375" style="879" customWidth="1"/>
    <col min="11012" max="11012" width="16.7109375" style="879" customWidth="1"/>
    <col min="11013" max="11013" width="9.140625" style="879"/>
    <col min="11014" max="11014" width="10.7109375" style="879" customWidth="1"/>
    <col min="11015" max="11015" width="9.140625" style="879"/>
    <col min="11016" max="11016" width="9.85546875" style="879" customWidth="1"/>
    <col min="11017" max="11017" width="9.140625" style="879"/>
    <col min="11018" max="11019" width="14.85546875" style="879" bestFit="1" customWidth="1"/>
    <col min="11020" max="11020" width="13.42578125" style="879" bestFit="1" customWidth="1"/>
    <col min="11021" max="11021" width="13.42578125" style="879" customWidth="1"/>
    <col min="11022" max="11023" width="14.85546875" style="879" bestFit="1" customWidth="1"/>
    <col min="11024" max="11024" width="13" style="879" customWidth="1"/>
    <col min="11025" max="11025" width="15.42578125" style="879" bestFit="1" customWidth="1"/>
    <col min="11026" max="11265" width="9.140625" style="879"/>
    <col min="11266" max="11266" width="6.85546875" style="879" customWidth="1"/>
    <col min="11267" max="11267" width="8.7109375" style="879" customWidth="1"/>
    <col min="11268" max="11268" width="16.7109375" style="879" customWidth="1"/>
    <col min="11269" max="11269" width="9.140625" style="879"/>
    <col min="11270" max="11270" width="10.7109375" style="879" customWidth="1"/>
    <col min="11271" max="11271" width="9.140625" style="879"/>
    <col min="11272" max="11272" width="9.85546875" style="879" customWidth="1"/>
    <col min="11273" max="11273" width="9.140625" style="879"/>
    <col min="11274" max="11275" width="14.85546875" style="879" bestFit="1" customWidth="1"/>
    <col min="11276" max="11276" width="13.42578125" style="879" bestFit="1" customWidth="1"/>
    <col min="11277" max="11277" width="13.42578125" style="879" customWidth="1"/>
    <col min="11278" max="11279" width="14.85546875" style="879" bestFit="1" customWidth="1"/>
    <col min="11280" max="11280" width="13" style="879" customWidth="1"/>
    <col min="11281" max="11281" width="15.42578125" style="879" bestFit="1" customWidth="1"/>
    <col min="11282" max="11521" width="9.140625" style="879"/>
    <col min="11522" max="11522" width="6.85546875" style="879" customWidth="1"/>
    <col min="11523" max="11523" width="8.7109375" style="879" customWidth="1"/>
    <col min="11524" max="11524" width="16.7109375" style="879" customWidth="1"/>
    <col min="11525" max="11525" width="9.140625" style="879"/>
    <col min="11526" max="11526" width="10.7109375" style="879" customWidth="1"/>
    <col min="11527" max="11527" width="9.140625" style="879"/>
    <col min="11528" max="11528" width="9.85546875" style="879" customWidth="1"/>
    <col min="11529" max="11529" width="9.140625" style="879"/>
    <col min="11530" max="11531" width="14.85546875" style="879" bestFit="1" customWidth="1"/>
    <col min="11532" max="11532" width="13.42578125" style="879" bestFit="1" customWidth="1"/>
    <col min="11533" max="11533" width="13.42578125" style="879" customWidth="1"/>
    <col min="11534" max="11535" width="14.85546875" style="879" bestFit="1" customWidth="1"/>
    <col min="11536" max="11536" width="13" style="879" customWidth="1"/>
    <col min="11537" max="11537" width="15.42578125" style="879" bestFit="1" customWidth="1"/>
    <col min="11538" max="11777" width="9.140625" style="879"/>
    <col min="11778" max="11778" width="6.85546875" style="879" customWidth="1"/>
    <col min="11779" max="11779" width="8.7109375" style="879" customWidth="1"/>
    <col min="11780" max="11780" width="16.7109375" style="879" customWidth="1"/>
    <col min="11781" max="11781" width="9.140625" style="879"/>
    <col min="11782" max="11782" width="10.7109375" style="879" customWidth="1"/>
    <col min="11783" max="11783" width="9.140625" style="879"/>
    <col min="11784" max="11784" width="9.85546875" style="879" customWidth="1"/>
    <col min="11785" max="11785" width="9.140625" style="879"/>
    <col min="11786" max="11787" width="14.85546875" style="879" bestFit="1" customWidth="1"/>
    <col min="11788" max="11788" width="13.42578125" style="879" bestFit="1" customWidth="1"/>
    <col min="11789" max="11789" width="13.42578125" style="879" customWidth="1"/>
    <col min="11790" max="11791" width="14.85546875" style="879" bestFit="1" customWidth="1"/>
    <col min="11792" max="11792" width="13" style="879" customWidth="1"/>
    <col min="11793" max="11793" width="15.42578125" style="879" bestFit="1" customWidth="1"/>
    <col min="11794" max="12033" width="9.140625" style="879"/>
    <col min="12034" max="12034" width="6.85546875" style="879" customWidth="1"/>
    <col min="12035" max="12035" width="8.7109375" style="879" customWidth="1"/>
    <col min="12036" max="12036" width="16.7109375" style="879" customWidth="1"/>
    <col min="12037" max="12037" width="9.140625" style="879"/>
    <col min="12038" max="12038" width="10.7109375" style="879" customWidth="1"/>
    <col min="12039" max="12039" width="9.140625" style="879"/>
    <col min="12040" max="12040" width="9.85546875" style="879" customWidth="1"/>
    <col min="12041" max="12041" width="9.140625" style="879"/>
    <col min="12042" max="12043" width="14.85546875" style="879" bestFit="1" customWidth="1"/>
    <col min="12044" max="12044" width="13.42578125" style="879" bestFit="1" customWidth="1"/>
    <col min="12045" max="12045" width="13.42578125" style="879" customWidth="1"/>
    <col min="12046" max="12047" width="14.85546875" style="879" bestFit="1" customWidth="1"/>
    <col min="12048" max="12048" width="13" style="879" customWidth="1"/>
    <col min="12049" max="12049" width="15.42578125" style="879" bestFit="1" customWidth="1"/>
    <col min="12050" max="12289" width="9.140625" style="879"/>
    <col min="12290" max="12290" width="6.85546875" style="879" customWidth="1"/>
    <col min="12291" max="12291" width="8.7109375" style="879" customWidth="1"/>
    <col min="12292" max="12292" width="16.7109375" style="879" customWidth="1"/>
    <col min="12293" max="12293" width="9.140625" style="879"/>
    <col min="12294" max="12294" width="10.7109375" style="879" customWidth="1"/>
    <col min="12295" max="12295" width="9.140625" style="879"/>
    <col min="12296" max="12296" width="9.85546875" style="879" customWidth="1"/>
    <col min="12297" max="12297" width="9.140625" style="879"/>
    <col min="12298" max="12299" width="14.85546875" style="879" bestFit="1" customWidth="1"/>
    <col min="12300" max="12300" width="13.42578125" style="879" bestFit="1" customWidth="1"/>
    <col min="12301" max="12301" width="13.42578125" style="879" customWidth="1"/>
    <col min="12302" max="12303" width="14.85546875" style="879" bestFit="1" customWidth="1"/>
    <col min="12304" max="12304" width="13" style="879" customWidth="1"/>
    <col min="12305" max="12305" width="15.42578125" style="879" bestFit="1" customWidth="1"/>
    <col min="12306" max="12545" width="9.140625" style="879"/>
    <col min="12546" max="12546" width="6.85546875" style="879" customWidth="1"/>
    <col min="12547" max="12547" width="8.7109375" style="879" customWidth="1"/>
    <col min="12548" max="12548" width="16.7109375" style="879" customWidth="1"/>
    <col min="12549" max="12549" width="9.140625" style="879"/>
    <col min="12550" max="12550" width="10.7109375" style="879" customWidth="1"/>
    <col min="12551" max="12551" width="9.140625" style="879"/>
    <col min="12552" max="12552" width="9.85546875" style="879" customWidth="1"/>
    <col min="12553" max="12553" width="9.140625" style="879"/>
    <col min="12554" max="12555" width="14.85546875" style="879" bestFit="1" customWidth="1"/>
    <col min="12556" max="12556" width="13.42578125" style="879" bestFit="1" customWidth="1"/>
    <col min="12557" max="12557" width="13.42578125" style="879" customWidth="1"/>
    <col min="12558" max="12559" width="14.85546875" style="879" bestFit="1" customWidth="1"/>
    <col min="12560" max="12560" width="13" style="879" customWidth="1"/>
    <col min="12561" max="12561" width="15.42578125" style="879" bestFit="1" customWidth="1"/>
    <col min="12562" max="12801" width="9.140625" style="879"/>
    <col min="12802" max="12802" width="6.85546875" style="879" customWidth="1"/>
    <col min="12803" max="12803" width="8.7109375" style="879" customWidth="1"/>
    <col min="12804" max="12804" width="16.7109375" style="879" customWidth="1"/>
    <col min="12805" max="12805" width="9.140625" style="879"/>
    <col min="12806" max="12806" width="10.7109375" style="879" customWidth="1"/>
    <col min="12807" max="12807" width="9.140625" style="879"/>
    <col min="12808" max="12808" width="9.85546875" style="879" customWidth="1"/>
    <col min="12809" max="12809" width="9.140625" style="879"/>
    <col min="12810" max="12811" width="14.85546875" style="879" bestFit="1" customWidth="1"/>
    <col min="12812" max="12812" width="13.42578125" style="879" bestFit="1" customWidth="1"/>
    <col min="12813" max="12813" width="13.42578125" style="879" customWidth="1"/>
    <col min="12814" max="12815" width="14.85546875" style="879" bestFit="1" customWidth="1"/>
    <col min="12816" max="12816" width="13" style="879" customWidth="1"/>
    <col min="12817" max="12817" width="15.42578125" style="879" bestFit="1" customWidth="1"/>
    <col min="12818" max="13057" width="9.140625" style="879"/>
    <col min="13058" max="13058" width="6.85546875" style="879" customWidth="1"/>
    <col min="13059" max="13059" width="8.7109375" style="879" customWidth="1"/>
    <col min="13060" max="13060" width="16.7109375" style="879" customWidth="1"/>
    <col min="13061" max="13061" width="9.140625" style="879"/>
    <col min="13062" max="13062" width="10.7109375" style="879" customWidth="1"/>
    <col min="13063" max="13063" width="9.140625" style="879"/>
    <col min="13064" max="13064" width="9.85546875" style="879" customWidth="1"/>
    <col min="13065" max="13065" width="9.140625" style="879"/>
    <col min="13066" max="13067" width="14.85546875" style="879" bestFit="1" customWidth="1"/>
    <col min="13068" max="13068" width="13.42578125" style="879" bestFit="1" customWidth="1"/>
    <col min="13069" max="13069" width="13.42578125" style="879" customWidth="1"/>
    <col min="13070" max="13071" width="14.85546875" style="879" bestFit="1" customWidth="1"/>
    <col min="13072" max="13072" width="13" style="879" customWidth="1"/>
    <col min="13073" max="13073" width="15.42578125" style="879" bestFit="1" customWidth="1"/>
    <col min="13074" max="13313" width="9.140625" style="879"/>
    <col min="13314" max="13314" width="6.85546875" style="879" customWidth="1"/>
    <col min="13315" max="13315" width="8.7109375" style="879" customWidth="1"/>
    <col min="13316" max="13316" width="16.7109375" style="879" customWidth="1"/>
    <col min="13317" max="13317" width="9.140625" style="879"/>
    <col min="13318" max="13318" width="10.7109375" style="879" customWidth="1"/>
    <col min="13319" max="13319" width="9.140625" style="879"/>
    <col min="13320" max="13320" width="9.85546875" style="879" customWidth="1"/>
    <col min="13321" max="13321" width="9.140625" style="879"/>
    <col min="13322" max="13323" width="14.85546875" style="879" bestFit="1" customWidth="1"/>
    <col min="13324" max="13324" width="13.42578125" style="879" bestFit="1" customWidth="1"/>
    <col min="13325" max="13325" width="13.42578125" style="879" customWidth="1"/>
    <col min="13326" max="13327" width="14.85546875" style="879" bestFit="1" customWidth="1"/>
    <col min="13328" max="13328" width="13" style="879" customWidth="1"/>
    <col min="13329" max="13329" width="15.42578125" style="879" bestFit="1" customWidth="1"/>
    <col min="13330" max="13569" width="9.140625" style="879"/>
    <col min="13570" max="13570" width="6.85546875" style="879" customWidth="1"/>
    <col min="13571" max="13571" width="8.7109375" style="879" customWidth="1"/>
    <col min="13572" max="13572" width="16.7109375" style="879" customWidth="1"/>
    <col min="13573" max="13573" width="9.140625" style="879"/>
    <col min="13574" max="13574" width="10.7109375" style="879" customWidth="1"/>
    <col min="13575" max="13575" width="9.140625" style="879"/>
    <col min="13576" max="13576" width="9.85546875" style="879" customWidth="1"/>
    <col min="13577" max="13577" width="9.140625" style="879"/>
    <col min="13578" max="13579" width="14.85546875" style="879" bestFit="1" customWidth="1"/>
    <col min="13580" max="13580" width="13.42578125" style="879" bestFit="1" customWidth="1"/>
    <col min="13581" max="13581" width="13.42578125" style="879" customWidth="1"/>
    <col min="13582" max="13583" width="14.85546875" style="879" bestFit="1" customWidth="1"/>
    <col min="13584" max="13584" width="13" style="879" customWidth="1"/>
    <col min="13585" max="13585" width="15.42578125" style="879" bestFit="1" customWidth="1"/>
    <col min="13586" max="13825" width="9.140625" style="879"/>
    <col min="13826" max="13826" width="6.85546875" style="879" customWidth="1"/>
    <col min="13827" max="13827" width="8.7109375" style="879" customWidth="1"/>
    <col min="13828" max="13828" width="16.7109375" style="879" customWidth="1"/>
    <col min="13829" max="13829" width="9.140625" style="879"/>
    <col min="13830" max="13830" width="10.7109375" style="879" customWidth="1"/>
    <col min="13831" max="13831" width="9.140625" style="879"/>
    <col min="13832" max="13832" width="9.85546875" style="879" customWidth="1"/>
    <col min="13833" max="13833" width="9.140625" style="879"/>
    <col min="13834" max="13835" width="14.85546875" style="879" bestFit="1" customWidth="1"/>
    <col min="13836" max="13836" width="13.42578125" style="879" bestFit="1" customWidth="1"/>
    <col min="13837" max="13837" width="13.42578125" style="879" customWidth="1"/>
    <col min="13838" max="13839" width="14.85546875" style="879" bestFit="1" customWidth="1"/>
    <col min="13840" max="13840" width="13" style="879" customWidth="1"/>
    <col min="13841" max="13841" width="15.42578125" style="879" bestFit="1" customWidth="1"/>
    <col min="13842" max="14081" width="9.140625" style="879"/>
    <col min="14082" max="14082" width="6.85546875" style="879" customWidth="1"/>
    <col min="14083" max="14083" width="8.7109375" style="879" customWidth="1"/>
    <col min="14084" max="14084" width="16.7109375" style="879" customWidth="1"/>
    <col min="14085" max="14085" width="9.140625" style="879"/>
    <col min="14086" max="14086" width="10.7109375" style="879" customWidth="1"/>
    <col min="14087" max="14087" width="9.140625" style="879"/>
    <col min="14088" max="14088" width="9.85546875" style="879" customWidth="1"/>
    <col min="14089" max="14089" width="9.140625" style="879"/>
    <col min="14090" max="14091" width="14.85546875" style="879" bestFit="1" customWidth="1"/>
    <col min="14092" max="14092" width="13.42578125" style="879" bestFit="1" customWidth="1"/>
    <col min="14093" max="14093" width="13.42578125" style="879" customWidth="1"/>
    <col min="14094" max="14095" width="14.85546875" style="879" bestFit="1" customWidth="1"/>
    <col min="14096" max="14096" width="13" style="879" customWidth="1"/>
    <col min="14097" max="14097" width="15.42578125" style="879" bestFit="1" customWidth="1"/>
    <col min="14098" max="14337" width="9.140625" style="879"/>
    <col min="14338" max="14338" width="6.85546875" style="879" customWidth="1"/>
    <col min="14339" max="14339" width="8.7109375" style="879" customWidth="1"/>
    <col min="14340" max="14340" width="16.7109375" style="879" customWidth="1"/>
    <col min="14341" max="14341" width="9.140625" style="879"/>
    <col min="14342" max="14342" width="10.7109375" style="879" customWidth="1"/>
    <col min="14343" max="14343" width="9.140625" style="879"/>
    <col min="14344" max="14344" width="9.85546875" style="879" customWidth="1"/>
    <col min="14345" max="14345" width="9.140625" style="879"/>
    <col min="14346" max="14347" width="14.85546875" style="879" bestFit="1" customWidth="1"/>
    <col min="14348" max="14348" width="13.42578125" style="879" bestFit="1" customWidth="1"/>
    <col min="14349" max="14349" width="13.42578125" style="879" customWidth="1"/>
    <col min="14350" max="14351" width="14.85546875" style="879" bestFit="1" customWidth="1"/>
    <col min="14352" max="14352" width="13" style="879" customWidth="1"/>
    <col min="14353" max="14353" width="15.42578125" style="879" bestFit="1" customWidth="1"/>
    <col min="14354" max="14593" width="9.140625" style="879"/>
    <col min="14594" max="14594" width="6.85546875" style="879" customWidth="1"/>
    <col min="14595" max="14595" width="8.7109375" style="879" customWidth="1"/>
    <col min="14596" max="14596" width="16.7109375" style="879" customWidth="1"/>
    <col min="14597" max="14597" width="9.140625" style="879"/>
    <col min="14598" max="14598" width="10.7109375" style="879" customWidth="1"/>
    <col min="14599" max="14599" width="9.140625" style="879"/>
    <col min="14600" max="14600" width="9.85546875" style="879" customWidth="1"/>
    <col min="14601" max="14601" width="9.140625" style="879"/>
    <col min="14602" max="14603" width="14.85546875" style="879" bestFit="1" customWidth="1"/>
    <col min="14604" max="14604" width="13.42578125" style="879" bestFit="1" customWidth="1"/>
    <col min="14605" max="14605" width="13.42578125" style="879" customWidth="1"/>
    <col min="14606" max="14607" width="14.85546875" style="879" bestFit="1" customWidth="1"/>
    <col min="14608" max="14608" width="13" style="879" customWidth="1"/>
    <col min="14609" max="14609" width="15.42578125" style="879" bestFit="1" customWidth="1"/>
    <col min="14610" max="14849" width="9.140625" style="879"/>
    <col min="14850" max="14850" width="6.85546875" style="879" customWidth="1"/>
    <col min="14851" max="14851" width="8.7109375" style="879" customWidth="1"/>
    <col min="14852" max="14852" width="16.7109375" style="879" customWidth="1"/>
    <col min="14853" max="14853" width="9.140625" style="879"/>
    <col min="14854" max="14854" width="10.7109375" style="879" customWidth="1"/>
    <col min="14855" max="14855" width="9.140625" style="879"/>
    <col min="14856" max="14856" width="9.85546875" style="879" customWidth="1"/>
    <col min="14857" max="14857" width="9.140625" style="879"/>
    <col min="14858" max="14859" width="14.85546875" style="879" bestFit="1" customWidth="1"/>
    <col min="14860" max="14860" width="13.42578125" style="879" bestFit="1" customWidth="1"/>
    <col min="14861" max="14861" width="13.42578125" style="879" customWidth="1"/>
    <col min="14862" max="14863" width="14.85546875" style="879" bestFit="1" customWidth="1"/>
    <col min="14864" max="14864" width="13" style="879" customWidth="1"/>
    <col min="14865" max="14865" width="15.42578125" style="879" bestFit="1" customWidth="1"/>
    <col min="14866" max="15105" width="9.140625" style="879"/>
    <col min="15106" max="15106" width="6.85546875" style="879" customWidth="1"/>
    <col min="15107" max="15107" width="8.7109375" style="879" customWidth="1"/>
    <col min="15108" max="15108" width="16.7109375" style="879" customWidth="1"/>
    <col min="15109" max="15109" width="9.140625" style="879"/>
    <col min="15110" max="15110" width="10.7109375" style="879" customWidth="1"/>
    <col min="15111" max="15111" width="9.140625" style="879"/>
    <col min="15112" max="15112" width="9.85546875" style="879" customWidth="1"/>
    <col min="15113" max="15113" width="9.140625" style="879"/>
    <col min="15114" max="15115" width="14.85546875" style="879" bestFit="1" customWidth="1"/>
    <col min="15116" max="15116" width="13.42578125" style="879" bestFit="1" customWidth="1"/>
    <col min="15117" max="15117" width="13.42578125" style="879" customWidth="1"/>
    <col min="15118" max="15119" width="14.85546875" style="879" bestFit="1" customWidth="1"/>
    <col min="15120" max="15120" width="13" style="879" customWidth="1"/>
    <col min="15121" max="15121" width="15.42578125" style="879" bestFit="1" customWidth="1"/>
    <col min="15122" max="15361" width="9.140625" style="879"/>
    <col min="15362" max="15362" width="6.85546875" style="879" customWidth="1"/>
    <col min="15363" max="15363" width="8.7109375" style="879" customWidth="1"/>
    <col min="15364" max="15364" width="16.7109375" style="879" customWidth="1"/>
    <col min="15365" max="15365" width="9.140625" style="879"/>
    <col min="15366" max="15366" width="10.7109375" style="879" customWidth="1"/>
    <col min="15367" max="15367" width="9.140625" style="879"/>
    <col min="15368" max="15368" width="9.85546875" style="879" customWidth="1"/>
    <col min="15369" max="15369" width="9.140625" style="879"/>
    <col min="15370" max="15371" width="14.85546875" style="879" bestFit="1" customWidth="1"/>
    <col min="15372" max="15372" width="13.42578125" style="879" bestFit="1" customWidth="1"/>
    <col min="15373" max="15373" width="13.42578125" style="879" customWidth="1"/>
    <col min="15374" max="15375" width="14.85546875" style="879" bestFit="1" customWidth="1"/>
    <col min="15376" max="15376" width="13" style="879" customWidth="1"/>
    <col min="15377" max="15377" width="15.42578125" style="879" bestFit="1" customWidth="1"/>
    <col min="15378" max="15617" width="9.140625" style="879"/>
    <col min="15618" max="15618" width="6.85546875" style="879" customWidth="1"/>
    <col min="15619" max="15619" width="8.7109375" style="879" customWidth="1"/>
    <col min="15620" max="15620" width="16.7109375" style="879" customWidth="1"/>
    <col min="15621" max="15621" width="9.140625" style="879"/>
    <col min="15622" max="15622" width="10.7109375" style="879" customWidth="1"/>
    <col min="15623" max="15623" width="9.140625" style="879"/>
    <col min="15624" max="15624" width="9.85546875" style="879" customWidth="1"/>
    <col min="15625" max="15625" width="9.140625" style="879"/>
    <col min="15626" max="15627" width="14.85546875" style="879" bestFit="1" customWidth="1"/>
    <col min="15628" max="15628" width="13.42578125" style="879" bestFit="1" customWidth="1"/>
    <col min="15629" max="15629" width="13.42578125" style="879" customWidth="1"/>
    <col min="15630" max="15631" width="14.85546875" style="879" bestFit="1" customWidth="1"/>
    <col min="15632" max="15632" width="13" style="879" customWidth="1"/>
    <col min="15633" max="15633" width="15.42578125" style="879" bestFit="1" customWidth="1"/>
    <col min="15634" max="15873" width="9.140625" style="879"/>
    <col min="15874" max="15874" width="6.85546875" style="879" customWidth="1"/>
    <col min="15875" max="15875" width="8.7109375" style="879" customWidth="1"/>
    <col min="15876" max="15876" width="16.7109375" style="879" customWidth="1"/>
    <col min="15877" max="15877" width="9.140625" style="879"/>
    <col min="15878" max="15878" width="10.7109375" style="879" customWidth="1"/>
    <col min="15879" max="15879" width="9.140625" style="879"/>
    <col min="15880" max="15880" width="9.85546875" style="879" customWidth="1"/>
    <col min="15881" max="15881" width="9.140625" style="879"/>
    <col min="15882" max="15883" width="14.85546875" style="879" bestFit="1" customWidth="1"/>
    <col min="15884" max="15884" width="13.42578125" style="879" bestFit="1" customWidth="1"/>
    <col min="15885" max="15885" width="13.42578125" style="879" customWidth="1"/>
    <col min="15886" max="15887" width="14.85546875" style="879" bestFit="1" customWidth="1"/>
    <col min="15888" max="15888" width="13" style="879" customWidth="1"/>
    <col min="15889" max="15889" width="15.42578125" style="879" bestFit="1" customWidth="1"/>
    <col min="15890" max="16129" width="9.140625" style="879"/>
    <col min="16130" max="16130" width="6.85546875" style="879" customWidth="1"/>
    <col min="16131" max="16131" width="8.7109375" style="879" customWidth="1"/>
    <col min="16132" max="16132" width="16.7109375" style="879" customWidth="1"/>
    <col min="16133" max="16133" width="9.140625" style="879"/>
    <col min="16134" max="16134" width="10.7109375" style="879" customWidth="1"/>
    <col min="16135" max="16135" width="9.140625" style="879"/>
    <col min="16136" max="16136" width="9.85546875" style="879" customWidth="1"/>
    <col min="16137" max="16137" width="9.140625" style="879"/>
    <col min="16138" max="16139" width="14.85546875" style="879" bestFit="1" customWidth="1"/>
    <col min="16140" max="16140" width="13.42578125" style="879" bestFit="1" customWidth="1"/>
    <col min="16141" max="16141" width="13.42578125" style="879" customWidth="1"/>
    <col min="16142" max="16143" width="14.85546875" style="879" bestFit="1" customWidth="1"/>
    <col min="16144" max="16144" width="13" style="879" customWidth="1"/>
    <col min="16145" max="16145" width="15.42578125" style="879" bestFit="1" customWidth="1"/>
    <col min="16146" max="16384" width="9.140625" style="879"/>
  </cols>
  <sheetData>
    <row r="1" spans="1:17" ht="15" x14ac:dyDescent="0.25">
      <c r="A1" s="878"/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92">
        <v>19</v>
      </c>
    </row>
    <row r="2" spans="1:17" ht="15.75" x14ac:dyDescent="0.25">
      <c r="A2" s="1954" t="s">
        <v>685</v>
      </c>
      <c r="B2" s="1954"/>
      <c r="C2" s="1954"/>
      <c r="D2" s="1954"/>
      <c r="E2" s="1954"/>
      <c r="F2" s="1954"/>
      <c r="G2" s="1954"/>
      <c r="H2" s="1954"/>
      <c r="I2" s="1954"/>
      <c r="J2" s="1954"/>
      <c r="K2" s="1954"/>
      <c r="L2" s="1954"/>
      <c r="M2" s="1954"/>
      <c r="N2" s="1954"/>
      <c r="O2" s="1954"/>
    </row>
    <row r="3" spans="1:17" ht="15.75" x14ac:dyDescent="0.25">
      <c r="A3" s="1954" t="s">
        <v>1090</v>
      </c>
      <c r="B3" s="1954"/>
      <c r="C3" s="1954"/>
      <c r="D3" s="1954"/>
      <c r="E3" s="1954"/>
      <c r="F3" s="1954"/>
      <c r="G3" s="1954"/>
      <c r="H3" s="1954"/>
      <c r="I3" s="1954"/>
      <c r="J3" s="1954"/>
      <c r="K3" s="1954"/>
      <c r="L3" s="1954"/>
      <c r="M3" s="1954"/>
      <c r="N3" s="1954"/>
      <c r="O3" s="1954"/>
    </row>
    <row r="4" spans="1:17" x14ac:dyDescent="0.2">
      <c r="A4" s="878"/>
      <c r="B4" s="878"/>
      <c r="C4" s="878"/>
      <c r="D4" s="878"/>
      <c r="E4" s="878"/>
      <c r="F4" s="878"/>
      <c r="G4" s="878"/>
      <c r="H4" s="878"/>
      <c r="I4" s="878"/>
      <c r="J4" s="878"/>
      <c r="K4" s="878"/>
      <c r="L4" s="878"/>
      <c r="M4" s="878"/>
      <c r="N4" s="878"/>
      <c r="O4" s="878"/>
    </row>
    <row r="5" spans="1:17" s="887" customFormat="1" ht="12.75" customHeight="1" x14ac:dyDescent="0.2">
      <c r="A5" s="2056" t="s">
        <v>637</v>
      </c>
      <c r="B5" s="2056" t="s">
        <v>113</v>
      </c>
      <c r="C5" s="2056" t="s">
        <v>132</v>
      </c>
      <c r="D5" s="2056" t="s">
        <v>114</v>
      </c>
      <c r="E5" s="2056" t="s">
        <v>115</v>
      </c>
      <c r="F5" s="2056"/>
      <c r="G5" s="2056" t="s">
        <v>731</v>
      </c>
      <c r="H5" s="2056"/>
      <c r="I5" s="2058" t="s">
        <v>116</v>
      </c>
      <c r="J5" s="2056" t="s">
        <v>117</v>
      </c>
      <c r="K5" s="2056" t="s">
        <v>732</v>
      </c>
      <c r="L5" s="2056" t="s">
        <v>437</v>
      </c>
      <c r="M5" s="2056" t="s">
        <v>118</v>
      </c>
      <c r="N5" s="2056" t="s">
        <v>119</v>
      </c>
      <c r="O5" s="2056" t="s">
        <v>733</v>
      </c>
    </row>
    <row r="6" spans="1:17" s="887" customFormat="1" ht="12" x14ac:dyDescent="0.2">
      <c r="A6" s="2056"/>
      <c r="B6" s="2056"/>
      <c r="C6" s="2056"/>
      <c r="D6" s="2056"/>
      <c r="E6" s="2056"/>
      <c r="F6" s="2056"/>
      <c r="G6" s="2056"/>
      <c r="H6" s="2056"/>
      <c r="I6" s="2058"/>
      <c r="J6" s="2056"/>
      <c r="K6" s="2056"/>
      <c r="L6" s="2056"/>
      <c r="M6" s="2056"/>
      <c r="N6" s="2056"/>
      <c r="O6" s="2056"/>
    </row>
    <row r="7" spans="1:17" s="887" customFormat="1" ht="33" customHeight="1" thickBot="1" x14ac:dyDescent="0.25">
      <c r="A7" s="2057"/>
      <c r="B7" s="2057"/>
      <c r="C7" s="2057"/>
      <c r="D7" s="2057"/>
      <c r="E7" s="2057"/>
      <c r="F7" s="2057"/>
      <c r="G7" s="2057"/>
      <c r="H7" s="2057"/>
      <c r="I7" s="2059"/>
      <c r="J7" s="2057"/>
      <c r="K7" s="2057"/>
      <c r="L7" s="2057"/>
      <c r="M7" s="2060"/>
      <c r="N7" s="2057"/>
      <c r="O7" s="2057"/>
      <c r="Q7" s="893"/>
    </row>
    <row r="8" spans="1:17" s="896" customFormat="1" thickTop="1" x14ac:dyDescent="0.2">
      <c r="A8" s="883">
        <v>1</v>
      </c>
      <c r="B8" s="884" t="s">
        <v>133</v>
      </c>
      <c r="C8" s="885" t="s">
        <v>120</v>
      </c>
      <c r="D8" s="886" t="s">
        <v>121</v>
      </c>
      <c r="E8" s="2061">
        <f>SUM(J8:O8)</f>
        <v>36144458.189999998</v>
      </c>
      <c r="F8" s="2061"/>
      <c r="G8" s="2061">
        <f>E8-I8</f>
        <v>36144458.189999998</v>
      </c>
      <c r="H8" s="2061"/>
      <c r="I8" s="894">
        <v>0</v>
      </c>
      <c r="J8" s="881">
        <v>788352.82</v>
      </c>
      <c r="K8" s="881">
        <v>642562.5</v>
      </c>
      <c r="L8" s="881">
        <v>3481268.35</v>
      </c>
      <c r="M8" s="881">
        <v>0</v>
      </c>
      <c r="N8" s="881">
        <v>24780633</v>
      </c>
      <c r="O8" s="881">
        <v>6451641.5199999996</v>
      </c>
      <c r="P8" s="895"/>
      <c r="Q8" s="895"/>
    </row>
    <row r="9" spans="1:17" s="896" customFormat="1" ht="24" x14ac:dyDescent="0.2">
      <c r="A9" s="888">
        <v>2</v>
      </c>
      <c r="B9" s="889" t="s">
        <v>136</v>
      </c>
      <c r="C9" s="885" t="s">
        <v>120</v>
      </c>
      <c r="D9" s="890" t="s">
        <v>123</v>
      </c>
      <c r="E9" s="2061">
        <f>SUM(J9:O9)</f>
        <v>21908424.219999999</v>
      </c>
      <c r="F9" s="2061"/>
      <c r="G9" s="2062">
        <f>E9-I9</f>
        <v>21908424.219999999</v>
      </c>
      <c r="H9" s="2062"/>
      <c r="I9" s="897">
        <v>0</v>
      </c>
      <c r="J9" s="882">
        <v>4072414.49</v>
      </c>
      <c r="K9" s="882">
        <v>125144</v>
      </c>
      <c r="L9" s="882">
        <v>2347195.33</v>
      </c>
      <c r="M9" s="882">
        <v>153188.84</v>
      </c>
      <c r="N9" s="882">
        <v>895079.45</v>
      </c>
      <c r="O9" s="882">
        <v>14315402.109999999</v>
      </c>
      <c r="Q9" s="895"/>
    </row>
    <row r="10" spans="1:17" s="896" customFormat="1" ht="24" x14ac:dyDescent="0.2">
      <c r="A10" s="883">
        <v>3</v>
      </c>
      <c r="B10" s="889" t="s">
        <v>153</v>
      </c>
      <c r="C10" s="885" t="s">
        <v>120</v>
      </c>
      <c r="D10" s="890" t="s">
        <v>124</v>
      </c>
      <c r="E10" s="2062">
        <f t="shared" ref="E10:E18" si="0">SUM(J10:O10)</f>
        <v>2462294.7800000003</v>
      </c>
      <c r="F10" s="2062"/>
      <c r="G10" s="2062">
        <f>E10-I10</f>
        <v>2462294.7800000003</v>
      </c>
      <c r="H10" s="2062"/>
      <c r="I10" s="897">
        <v>0</v>
      </c>
      <c r="J10" s="882">
        <v>69600</v>
      </c>
      <c r="K10" s="882">
        <v>0</v>
      </c>
      <c r="L10" s="882">
        <v>884661.28</v>
      </c>
      <c r="M10" s="882">
        <v>0</v>
      </c>
      <c r="N10" s="882">
        <v>976389</v>
      </c>
      <c r="O10" s="882">
        <v>531644.5</v>
      </c>
      <c r="Q10" s="895"/>
    </row>
    <row r="11" spans="1:17" s="896" customFormat="1" ht="12" x14ac:dyDescent="0.2">
      <c r="A11" s="883">
        <v>4</v>
      </c>
      <c r="B11" s="889" t="s">
        <v>154</v>
      </c>
      <c r="C11" s="885" t="s">
        <v>120</v>
      </c>
      <c r="D11" s="890" t="s">
        <v>126</v>
      </c>
      <c r="E11" s="2062">
        <f t="shared" si="0"/>
        <v>17362655367.709999</v>
      </c>
      <c r="F11" s="2062"/>
      <c r="G11" s="2062">
        <f t="shared" ref="G11:G18" si="1">E11-I11</f>
        <v>17362655367.709999</v>
      </c>
      <c r="H11" s="2062"/>
      <c r="I11" s="897">
        <v>0</v>
      </c>
      <c r="J11" s="882">
        <v>1535144327.05</v>
      </c>
      <c r="K11" s="882">
        <v>10393600419.33</v>
      </c>
      <c r="L11" s="882">
        <v>1277625619.3</v>
      </c>
      <c r="M11" s="882">
        <v>15413239.619999999</v>
      </c>
      <c r="N11" s="882">
        <v>217876180.88999999</v>
      </c>
      <c r="O11" s="882">
        <v>3922995581.52</v>
      </c>
      <c r="Q11" s="895"/>
    </row>
    <row r="12" spans="1:17" s="896" customFormat="1" ht="60" x14ac:dyDescent="0.2">
      <c r="A12" s="888">
        <v>5</v>
      </c>
      <c r="B12" s="889" t="s">
        <v>155</v>
      </c>
      <c r="C12" s="885" t="s">
        <v>120</v>
      </c>
      <c r="D12" s="890" t="s">
        <v>397</v>
      </c>
      <c r="E12" s="2062">
        <f t="shared" si="0"/>
        <v>1242749913.8200002</v>
      </c>
      <c r="F12" s="2062"/>
      <c r="G12" s="2062">
        <f t="shared" si="1"/>
        <v>1242749913.8200002</v>
      </c>
      <c r="H12" s="2062"/>
      <c r="I12" s="897">
        <v>0</v>
      </c>
      <c r="J12" s="882">
        <v>181430139.83000001</v>
      </c>
      <c r="K12" s="882">
        <v>9831635.2599999998</v>
      </c>
      <c r="L12" s="882">
        <v>148439410.22999999</v>
      </c>
      <c r="M12" s="882">
        <v>992418</v>
      </c>
      <c r="N12" s="882">
        <v>289333125.79000002</v>
      </c>
      <c r="O12" s="882">
        <v>612723184.71000004</v>
      </c>
      <c r="Q12" s="895"/>
    </row>
    <row r="13" spans="1:17" s="896" customFormat="1" ht="12" hidden="1" x14ac:dyDescent="0.2">
      <c r="A13" s="883">
        <v>6</v>
      </c>
      <c r="B13" s="891" t="s">
        <v>394</v>
      </c>
      <c r="C13" s="885" t="s">
        <v>120</v>
      </c>
      <c r="D13" s="890" t="s">
        <v>268</v>
      </c>
      <c r="E13" s="2062">
        <f t="shared" si="0"/>
        <v>0</v>
      </c>
      <c r="F13" s="2062"/>
      <c r="G13" s="2062">
        <f t="shared" si="1"/>
        <v>0</v>
      </c>
      <c r="H13" s="2062"/>
      <c r="I13" s="897">
        <v>0</v>
      </c>
      <c r="J13" s="882">
        <v>0</v>
      </c>
      <c r="K13" s="882">
        <v>0</v>
      </c>
      <c r="L13" s="882">
        <v>0</v>
      </c>
      <c r="M13" s="882">
        <v>0</v>
      </c>
      <c r="N13" s="882">
        <v>0</v>
      </c>
      <c r="O13" s="882">
        <v>0</v>
      </c>
      <c r="Q13" s="895"/>
    </row>
    <row r="14" spans="1:17" s="896" customFormat="1" ht="24" x14ac:dyDescent="0.2">
      <c r="A14" s="883">
        <v>6</v>
      </c>
      <c r="B14" s="889" t="s">
        <v>157</v>
      </c>
      <c r="C14" s="885" t="s">
        <v>120</v>
      </c>
      <c r="D14" s="890" t="s">
        <v>127</v>
      </c>
      <c r="E14" s="2062">
        <f>SUM(J14:O14)</f>
        <v>1010105921.6500001</v>
      </c>
      <c r="F14" s="2062"/>
      <c r="G14" s="2062">
        <f t="shared" si="1"/>
        <v>1010105921.6500001</v>
      </c>
      <c r="H14" s="2062"/>
      <c r="I14" s="897">
        <v>0</v>
      </c>
      <c r="J14" s="882">
        <v>215333099.59</v>
      </c>
      <c r="K14" s="882">
        <v>4793974</v>
      </c>
      <c r="L14" s="882">
        <v>86680120.019999996</v>
      </c>
      <c r="M14" s="882">
        <v>2640782.4500000002</v>
      </c>
      <c r="N14" s="882">
        <v>37093852.979999997</v>
      </c>
      <c r="O14" s="882">
        <v>663564092.61000001</v>
      </c>
      <c r="Q14" s="895"/>
    </row>
    <row r="15" spans="1:17" s="896" customFormat="1" ht="24" x14ac:dyDescent="0.2">
      <c r="A15" s="888">
        <v>7</v>
      </c>
      <c r="B15" s="889" t="s">
        <v>395</v>
      </c>
      <c r="C15" s="885" t="s">
        <v>120</v>
      </c>
      <c r="D15" s="890" t="s">
        <v>128</v>
      </c>
      <c r="E15" s="2062">
        <f t="shared" si="0"/>
        <v>1854781.15</v>
      </c>
      <c r="F15" s="2062"/>
      <c r="G15" s="2062">
        <f t="shared" si="1"/>
        <v>1854781.15</v>
      </c>
      <c r="H15" s="2062"/>
      <c r="I15" s="897">
        <v>0</v>
      </c>
      <c r="J15" s="882">
        <v>0</v>
      </c>
      <c r="K15" s="882">
        <v>40000</v>
      </c>
      <c r="L15" s="882">
        <v>0</v>
      </c>
      <c r="M15" s="882">
        <v>0</v>
      </c>
      <c r="N15" s="882">
        <v>0</v>
      </c>
      <c r="O15" s="882">
        <v>1814781.15</v>
      </c>
      <c r="Q15" s="895"/>
    </row>
    <row r="16" spans="1:17" s="896" customFormat="1" ht="12" x14ac:dyDescent="0.2">
      <c r="A16" s="883">
        <v>8</v>
      </c>
      <c r="B16" s="889" t="s">
        <v>158</v>
      </c>
      <c r="C16" s="885" t="s">
        <v>120</v>
      </c>
      <c r="D16" s="890" t="s">
        <v>129</v>
      </c>
      <c r="E16" s="2062">
        <f t="shared" si="0"/>
        <v>1416087850.75</v>
      </c>
      <c r="F16" s="2062"/>
      <c r="G16" s="2062">
        <f t="shared" si="1"/>
        <v>1416087850.75</v>
      </c>
      <c r="H16" s="2062"/>
      <c r="I16" s="897">
        <v>0</v>
      </c>
      <c r="J16" s="882">
        <v>64010857.149999999</v>
      </c>
      <c r="K16" s="882">
        <v>1124720868.1700001</v>
      </c>
      <c r="L16" s="882">
        <v>21526474.210000001</v>
      </c>
      <c r="M16" s="882">
        <v>73870</v>
      </c>
      <c r="N16" s="882">
        <v>12405539.1</v>
      </c>
      <c r="O16" s="882">
        <v>193350242.12</v>
      </c>
      <c r="Q16" s="895"/>
    </row>
    <row r="17" spans="1:17" s="896" customFormat="1" ht="12" x14ac:dyDescent="0.2">
      <c r="A17" s="883">
        <v>9</v>
      </c>
      <c r="B17" s="889" t="s">
        <v>159</v>
      </c>
      <c r="C17" s="885" t="s">
        <v>120</v>
      </c>
      <c r="D17" s="890" t="s">
        <v>287</v>
      </c>
      <c r="E17" s="2062">
        <f>SUM(J17:O17)</f>
        <v>21658840.559999999</v>
      </c>
      <c r="F17" s="2062"/>
      <c r="G17" s="2062">
        <f>E17-I17</f>
        <v>21658840.559999999</v>
      </c>
      <c r="H17" s="2062"/>
      <c r="I17" s="897">
        <v>0</v>
      </c>
      <c r="J17" s="882">
        <v>172607</v>
      </c>
      <c r="K17" s="882">
        <v>0</v>
      </c>
      <c r="L17" s="882">
        <v>20989226.559999999</v>
      </c>
      <c r="M17" s="882">
        <v>0</v>
      </c>
      <c r="N17" s="882">
        <v>0</v>
      </c>
      <c r="O17" s="882">
        <v>497007</v>
      </c>
      <c r="Q17" s="895"/>
    </row>
    <row r="18" spans="1:17" s="896" customFormat="1" ht="36" hidden="1" x14ac:dyDescent="0.2">
      <c r="A18" s="888">
        <v>11</v>
      </c>
      <c r="B18" s="889" t="s">
        <v>383</v>
      </c>
      <c r="C18" s="885" t="s">
        <v>120</v>
      </c>
      <c r="D18" s="890" t="s">
        <v>396</v>
      </c>
      <c r="E18" s="2062">
        <f t="shared" si="0"/>
        <v>0</v>
      </c>
      <c r="F18" s="2062"/>
      <c r="G18" s="2062">
        <f t="shared" si="1"/>
        <v>0</v>
      </c>
      <c r="H18" s="2062"/>
      <c r="I18" s="882">
        <v>0</v>
      </c>
      <c r="J18" s="882">
        <v>0</v>
      </c>
      <c r="K18" s="882">
        <v>0</v>
      </c>
      <c r="L18" s="882">
        <v>0</v>
      </c>
      <c r="M18" s="882">
        <v>0</v>
      </c>
      <c r="N18" s="882">
        <v>0</v>
      </c>
      <c r="O18" s="882">
        <v>0</v>
      </c>
      <c r="Q18" s="895"/>
    </row>
    <row r="19" spans="1:17" s="896" customFormat="1" ht="22.5" customHeight="1" x14ac:dyDescent="0.2">
      <c r="A19" s="2063" t="s">
        <v>130</v>
      </c>
      <c r="B19" s="2063"/>
      <c r="C19" s="2063"/>
      <c r="D19" s="2063"/>
      <c r="E19" s="2061">
        <f>SUM(E8:E18)</f>
        <v>21115627852.830002</v>
      </c>
      <c r="F19" s="2061"/>
      <c r="G19" s="2061">
        <f>SUM(G8:G18)</f>
        <v>21115627852.830002</v>
      </c>
      <c r="H19" s="2061"/>
      <c r="I19" s="894">
        <v>0</v>
      </c>
      <c r="J19" s="881">
        <f t="shared" ref="J19:O19" si="2">SUM(J8:J18)</f>
        <v>2001021397.9299998</v>
      </c>
      <c r="K19" s="881">
        <f t="shared" si="2"/>
        <v>11533754603.26</v>
      </c>
      <c r="L19" s="881">
        <f t="shared" si="2"/>
        <v>1561973975.28</v>
      </c>
      <c r="M19" s="881">
        <f t="shared" si="2"/>
        <v>19273498.91</v>
      </c>
      <c r="N19" s="881">
        <f t="shared" si="2"/>
        <v>583360800.21000004</v>
      </c>
      <c r="O19" s="881">
        <f t="shared" si="2"/>
        <v>5416243577.2399998</v>
      </c>
      <c r="Q19" s="895"/>
    </row>
    <row r="20" spans="1:17" s="887" customFormat="1" ht="12" x14ac:dyDescent="0.2"/>
    <row r="21" spans="1:17" s="887" customFormat="1" ht="12" x14ac:dyDescent="0.2"/>
    <row r="25" spans="1:17" x14ac:dyDescent="0.2">
      <c r="I25" s="880"/>
    </row>
  </sheetData>
  <mergeCells count="40">
    <mergeCell ref="E17:F17"/>
    <mergeCell ref="G17:H17"/>
    <mergeCell ref="E18:F18"/>
    <mergeCell ref="G18:H18"/>
    <mergeCell ref="A19:D19"/>
    <mergeCell ref="E19:F19"/>
    <mergeCell ref="G19:H19"/>
    <mergeCell ref="E14:F14"/>
    <mergeCell ref="G14:H14"/>
    <mergeCell ref="E15:F15"/>
    <mergeCell ref="G15:H15"/>
    <mergeCell ref="E16:F16"/>
    <mergeCell ref="G16:H16"/>
    <mergeCell ref="E11:F11"/>
    <mergeCell ref="G11:H11"/>
    <mergeCell ref="E12:F12"/>
    <mergeCell ref="G12:H12"/>
    <mergeCell ref="E13:F13"/>
    <mergeCell ref="G13:H13"/>
    <mergeCell ref="E9:F9"/>
    <mergeCell ref="G9:H9"/>
    <mergeCell ref="E10:F10"/>
    <mergeCell ref="G10:H10"/>
    <mergeCell ref="E8:F8"/>
    <mergeCell ref="G8:H8"/>
    <mergeCell ref="A2:O2"/>
    <mergeCell ref="A3:O3"/>
    <mergeCell ref="A5:A7"/>
    <mergeCell ref="B5:B7"/>
    <mergeCell ref="C5:C7"/>
    <mergeCell ref="D5:D7"/>
    <mergeCell ref="E5:F7"/>
    <mergeCell ref="G5:H7"/>
    <mergeCell ref="I5:I7"/>
    <mergeCell ref="J5:J7"/>
    <mergeCell ref="K5:K7"/>
    <mergeCell ref="L5:L7"/>
    <mergeCell ref="M5:M7"/>
    <mergeCell ref="N5:N7"/>
    <mergeCell ref="O5:O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17A5-E85C-4444-A485-094C949BBDD0}">
  <sheetPr>
    <tabColor theme="6" tint="0.59999389629810485"/>
    <pageSetUpPr fitToPage="1"/>
  </sheetPr>
  <dimension ref="A1:U27"/>
  <sheetViews>
    <sheetView workbookViewId="0">
      <selection activeCell="Q8" sqref="Q8"/>
    </sheetView>
  </sheetViews>
  <sheetFormatPr defaultRowHeight="12.75" x14ac:dyDescent="0.2"/>
  <cols>
    <col min="1" max="1" width="4.7109375" style="879" customWidth="1"/>
    <col min="2" max="2" width="35.28515625" style="879" customWidth="1"/>
    <col min="3" max="3" width="12.28515625" style="879" customWidth="1"/>
    <col min="4" max="4" width="10.42578125" style="879" customWidth="1"/>
    <col min="5" max="5" width="10" style="879" customWidth="1"/>
    <col min="6" max="10" width="10.28515625" style="879" bestFit="1" customWidth="1"/>
    <col min="11" max="11" width="10.42578125" style="879" customWidth="1"/>
    <col min="12" max="14" width="10.28515625" style="879" bestFit="1" customWidth="1"/>
    <col min="15" max="15" width="13.85546875" style="879" bestFit="1" customWidth="1"/>
    <col min="16" max="17" width="9.140625" style="879"/>
    <col min="18" max="18" width="9.5703125" style="879" bestFit="1" customWidth="1"/>
    <col min="19" max="251" width="9.140625" style="879"/>
    <col min="252" max="252" width="6.140625" style="879" customWidth="1"/>
    <col min="253" max="253" width="41.140625" style="879" customWidth="1"/>
    <col min="254" max="254" width="20.5703125" style="879" customWidth="1"/>
    <col min="255" max="259" width="10.28515625" style="879" bestFit="1" customWidth="1"/>
    <col min="260" max="260" width="12.28515625" style="879" bestFit="1" customWidth="1"/>
    <col min="261" max="261" width="11.42578125" style="879" customWidth="1"/>
    <col min="262" max="265" width="10.28515625" style="879" bestFit="1" customWidth="1"/>
    <col min="266" max="266" width="10" style="879" bestFit="1" customWidth="1"/>
    <col min="267" max="268" width="9.140625" style="879"/>
    <col min="269" max="269" width="10" style="879" customWidth="1"/>
    <col min="270" max="270" width="10.42578125" style="879" bestFit="1" customWidth="1"/>
    <col min="271" max="271" width="13.85546875" style="879" bestFit="1" customWidth="1"/>
    <col min="272" max="273" width="9.140625" style="879"/>
    <col min="274" max="274" width="9.5703125" style="879" bestFit="1" customWidth="1"/>
    <col min="275" max="507" width="9.140625" style="879"/>
    <col min="508" max="508" width="6.140625" style="879" customWidth="1"/>
    <col min="509" max="509" width="41.140625" style="879" customWidth="1"/>
    <col min="510" max="510" width="20.5703125" style="879" customWidth="1"/>
    <col min="511" max="515" width="10.28515625" style="879" bestFit="1" customWidth="1"/>
    <col min="516" max="516" width="12.28515625" style="879" bestFit="1" customWidth="1"/>
    <col min="517" max="517" width="11.42578125" style="879" customWidth="1"/>
    <col min="518" max="521" width="10.28515625" style="879" bestFit="1" customWidth="1"/>
    <col min="522" max="522" width="10" style="879" bestFit="1" customWidth="1"/>
    <col min="523" max="524" width="9.140625" style="879"/>
    <col min="525" max="525" width="10" style="879" customWidth="1"/>
    <col min="526" max="526" width="10.42578125" style="879" bestFit="1" customWidth="1"/>
    <col min="527" max="527" width="13.85546875" style="879" bestFit="1" customWidth="1"/>
    <col min="528" max="529" width="9.140625" style="879"/>
    <col min="530" max="530" width="9.5703125" style="879" bestFit="1" customWidth="1"/>
    <col min="531" max="763" width="9.140625" style="879"/>
    <col min="764" max="764" width="6.140625" style="879" customWidth="1"/>
    <col min="765" max="765" width="41.140625" style="879" customWidth="1"/>
    <col min="766" max="766" width="20.5703125" style="879" customWidth="1"/>
    <col min="767" max="771" width="10.28515625" style="879" bestFit="1" customWidth="1"/>
    <col min="772" max="772" width="12.28515625" style="879" bestFit="1" customWidth="1"/>
    <col min="773" max="773" width="11.42578125" style="879" customWidth="1"/>
    <col min="774" max="777" width="10.28515625" style="879" bestFit="1" customWidth="1"/>
    <col min="778" max="778" width="10" style="879" bestFit="1" customWidth="1"/>
    <col min="779" max="780" width="9.140625" style="879"/>
    <col min="781" max="781" width="10" style="879" customWidth="1"/>
    <col min="782" max="782" width="10.42578125" style="879" bestFit="1" customWidth="1"/>
    <col min="783" max="783" width="13.85546875" style="879" bestFit="1" customWidth="1"/>
    <col min="784" max="785" width="9.140625" style="879"/>
    <col min="786" max="786" width="9.5703125" style="879" bestFit="1" customWidth="1"/>
    <col min="787" max="1019" width="9.140625" style="879"/>
    <col min="1020" max="1020" width="6.140625" style="879" customWidth="1"/>
    <col min="1021" max="1021" width="41.140625" style="879" customWidth="1"/>
    <col min="1022" max="1022" width="20.5703125" style="879" customWidth="1"/>
    <col min="1023" max="1027" width="10.28515625" style="879" bestFit="1" customWidth="1"/>
    <col min="1028" max="1028" width="12.28515625" style="879" bestFit="1" customWidth="1"/>
    <col min="1029" max="1029" width="11.42578125" style="879" customWidth="1"/>
    <col min="1030" max="1033" width="10.28515625" style="879" bestFit="1" customWidth="1"/>
    <col min="1034" max="1034" width="10" style="879" bestFit="1" customWidth="1"/>
    <col min="1035" max="1036" width="9.140625" style="879"/>
    <col min="1037" max="1037" width="10" style="879" customWidth="1"/>
    <col min="1038" max="1038" width="10.42578125" style="879" bestFit="1" customWidth="1"/>
    <col min="1039" max="1039" width="13.85546875" style="879" bestFit="1" customWidth="1"/>
    <col min="1040" max="1041" width="9.140625" style="879"/>
    <col min="1042" max="1042" width="9.5703125" style="879" bestFit="1" customWidth="1"/>
    <col min="1043" max="1275" width="9.140625" style="879"/>
    <col min="1276" max="1276" width="6.140625" style="879" customWidth="1"/>
    <col min="1277" max="1277" width="41.140625" style="879" customWidth="1"/>
    <col min="1278" max="1278" width="20.5703125" style="879" customWidth="1"/>
    <col min="1279" max="1283" width="10.28515625" style="879" bestFit="1" customWidth="1"/>
    <col min="1284" max="1284" width="12.28515625" style="879" bestFit="1" customWidth="1"/>
    <col min="1285" max="1285" width="11.42578125" style="879" customWidth="1"/>
    <col min="1286" max="1289" width="10.28515625" style="879" bestFit="1" customWidth="1"/>
    <col min="1290" max="1290" width="10" style="879" bestFit="1" customWidth="1"/>
    <col min="1291" max="1292" width="9.140625" style="879"/>
    <col min="1293" max="1293" width="10" style="879" customWidth="1"/>
    <col min="1294" max="1294" width="10.42578125" style="879" bestFit="1" customWidth="1"/>
    <col min="1295" max="1295" width="13.85546875" style="879" bestFit="1" customWidth="1"/>
    <col min="1296" max="1297" width="9.140625" style="879"/>
    <col min="1298" max="1298" width="9.5703125" style="879" bestFit="1" customWidth="1"/>
    <col min="1299" max="1531" width="9.140625" style="879"/>
    <col min="1532" max="1532" width="6.140625" style="879" customWidth="1"/>
    <col min="1533" max="1533" width="41.140625" style="879" customWidth="1"/>
    <col min="1534" max="1534" width="20.5703125" style="879" customWidth="1"/>
    <col min="1535" max="1539" width="10.28515625" style="879" bestFit="1" customWidth="1"/>
    <col min="1540" max="1540" width="12.28515625" style="879" bestFit="1" customWidth="1"/>
    <col min="1541" max="1541" width="11.42578125" style="879" customWidth="1"/>
    <col min="1542" max="1545" width="10.28515625" style="879" bestFit="1" customWidth="1"/>
    <col min="1546" max="1546" width="10" style="879" bestFit="1" customWidth="1"/>
    <col min="1547" max="1548" width="9.140625" style="879"/>
    <col min="1549" max="1549" width="10" style="879" customWidth="1"/>
    <col min="1550" max="1550" width="10.42578125" style="879" bestFit="1" customWidth="1"/>
    <col min="1551" max="1551" width="13.85546875" style="879" bestFit="1" customWidth="1"/>
    <col min="1552" max="1553" width="9.140625" style="879"/>
    <col min="1554" max="1554" width="9.5703125" style="879" bestFit="1" customWidth="1"/>
    <col min="1555" max="1787" width="9.140625" style="879"/>
    <col min="1788" max="1788" width="6.140625" style="879" customWidth="1"/>
    <col min="1789" max="1789" width="41.140625" style="879" customWidth="1"/>
    <col min="1790" max="1790" width="20.5703125" style="879" customWidth="1"/>
    <col min="1791" max="1795" width="10.28515625" style="879" bestFit="1" customWidth="1"/>
    <col min="1796" max="1796" width="12.28515625" style="879" bestFit="1" customWidth="1"/>
    <col min="1797" max="1797" width="11.42578125" style="879" customWidth="1"/>
    <col min="1798" max="1801" width="10.28515625" style="879" bestFit="1" customWidth="1"/>
    <col min="1802" max="1802" width="10" style="879" bestFit="1" customWidth="1"/>
    <col min="1803" max="1804" width="9.140625" style="879"/>
    <col min="1805" max="1805" width="10" style="879" customWidth="1"/>
    <col min="1806" max="1806" width="10.42578125" style="879" bestFit="1" customWidth="1"/>
    <col min="1807" max="1807" width="13.85546875" style="879" bestFit="1" customWidth="1"/>
    <col min="1808" max="1809" width="9.140625" style="879"/>
    <col min="1810" max="1810" width="9.5703125" style="879" bestFit="1" customWidth="1"/>
    <col min="1811" max="2043" width="9.140625" style="879"/>
    <col min="2044" max="2044" width="6.140625" style="879" customWidth="1"/>
    <col min="2045" max="2045" width="41.140625" style="879" customWidth="1"/>
    <col min="2046" max="2046" width="20.5703125" style="879" customWidth="1"/>
    <col min="2047" max="2051" width="10.28515625" style="879" bestFit="1" customWidth="1"/>
    <col min="2052" max="2052" width="12.28515625" style="879" bestFit="1" customWidth="1"/>
    <col min="2053" max="2053" width="11.42578125" style="879" customWidth="1"/>
    <col min="2054" max="2057" width="10.28515625" style="879" bestFit="1" customWidth="1"/>
    <col min="2058" max="2058" width="10" style="879" bestFit="1" customWidth="1"/>
    <col min="2059" max="2060" width="9.140625" style="879"/>
    <col min="2061" max="2061" width="10" style="879" customWidth="1"/>
    <col min="2062" max="2062" width="10.42578125" style="879" bestFit="1" customWidth="1"/>
    <col min="2063" max="2063" width="13.85546875" style="879" bestFit="1" customWidth="1"/>
    <col min="2064" max="2065" width="9.140625" style="879"/>
    <col min="2066" max="2066" width="9.5703125" style="879" bestFit="1" customWidth="1"/>
    <col min="2067" max="2299" width="9.140625" style="879"/>
    <col min="2300" max="2300" width="6.140625" style="879" customWidth="1"/>
    <col min="2301" max="2301" width="41.140625" style="879" customWidth="1"/>
    <col min="2302" max="2302" width="20.5703125" style="879" customWidth="1"/>
    <col min="2303" max="2307" width="10.28515625" style="879" bestFit="1" customWidth="1"/>
    <col min="2308" max="2308" width="12.28515625" style="879" bestFit="1" customWidth="1"/>
    <col min="2309" max="2309" width="11.42578125" style="879" customWidth="1"/>
    <col min="2310" max="2313" width="10.28515625" style="879" bestFit="1" customWidth="1"/>
    <col min="2314" max="2314" width="10" style="879" bestFit="1" customWidth="1"/>
    <col min="2315" max="2316" width="9.140625" style="879"/>
    <col min="2317" max="2317" width="10" style="879" customWidth="1"/>
    <col min="2318" max="2318" width="10.42578125" style="879" bestFit="1" customWidth="1"/>
    <col min="2319" max="2319" width="13.85546875" style="879" bestFit="1" customWidth="1"/>
    <col min="2320" max="2321" width="9.140625" style="879"/>
    <col min="2322" max="2322" width="9.5703125" style="879" bestFit="1" customWidth="1"/>
    <col min="2323" max="2555" width="9.140625" style="879"/>
    <col min="2556" max="2556" width="6.140625" style="879" customWidth="1"/>
    <col min="2557" max="2557" width="41.140625" style="879" customWidth="1"/>
    <col min="2558" max="2558" width="20.5703125" style="879" customWidth="1"/>
    <col min="2559" max="2563" width="10.28515625" style="879" bestFit="1" customWidth="1"/>
    <col min="2564" max="2564" width="12.28515625" style="879" bestFit="1" customWidth="1"/>
    <col min="2565" max="2565" width="11.42578125" style="879" customWidth="1"/>
    <col min="2566" max="2569" width="10.28515625" style="879" bestFit="1" customWidth="1"/>
    <col min="2570" max="2570" width="10" style="879" bestFit="1" customWidth="1"/>
    <col min="2571" max="2572" width="9.140625" style="879"/>
    <col min="2573" max="2573" width="10" style="879" customWidth="1"/>
    <col min="2574" max="2574" width="10.42578125" style="879" bestFit="1" customWidth="1"/>
    <col min="2575" max="2575" width="13.85546875" style="879" bestFit="1" customWidth="1"/>
    <col min="2576" max="2577" width="9.140625" style="879"/>
    <col min="2578" max="2578" width="9.5703125" style="879" bestFit="1" customWidth="1"/>
    <col min="2579" max="2811" width="9.140625" style="879"/>
    <col min="2812" max="2812" width="6.140625" style="879" customWidth="1"/>
    <col min="2813" max="2813" width="41.140625" style="879" customWidth="1"/>
    <col min="2814" max="2814" width="20.5703125" style="879" customWidth="1"/>
    <col min="2815" max="2819" width="10.28515625" style="879" bestFit="1" customWidth="1"/>
    <col min="2820" max="2820" width="12.28515625" style="879" bestFit="1" customWidth="1"/>
    <col min="2821" max="2821" width="11.42578125" style="879" customWidth="1"/>
    <col min="2822" max="2825" width="10.28515625" style="879" bestFit="1" customWidth="1"/>
    <col min="2826" max="2826" width="10" style="879" bestFit="1" customWidth="1"/>
    <col min="2827" max="2828" width="9.140625" style="879"/>
    <col min="2829" max="2829" width="10" style="879" customWidth="1"/>
    <col min="2830" max="2830" width="10.42578125" style="879" bestFit="1" customWidth="1"/>
    <col min="2831" max="2831" width="13.85546875" style="879" bestFit="1" customWidth="1"/>
    <col min="2832" max="2833" width="9.140625" style="879"/>
    <col min="2834" max="2834" width="9.5703125" style="879" bestFit="1" customWidth="1"/>
    <col min="2835" max="3067" width="9.140625" style="879"/>
    <col min="3068" max="3068" width="6.140625" style="879" customWidth="1"/>
    <col min="3069" max="3069" width="41.140625" style="879" customWidth="1"/>
    <col min="3070" max="3070" width="20.5703125" style="879" customWidth="1"/>
    <col min="3071" max="3075" width="10.28515625" style="879" bestFit="1" customWidth="1"/>
    <col min="3076" max="3076" width="12.28515625" style="879" bestFit="1" customWidth="1"/>
    <col min="3077" max="3077" width="11.42578125" style="879" customWidth="1"/>
    <col min="3078" max="3081" width="10.28515625" style="879" bestFit="1" customWidth="1"/>
    <col min="3082" max="3082" width="10" style="879" bestFit="1" customWidth="1"/>
    <col min="3083" max="3084" width="9.140625" style="879"/>
    <col min="3085" max="3085" width="10" style="879" customWidth="1"/>
    <col min="3086" max="3086" width="10.42578125" style="879" bestFit="1" customWidth="1"/>
    <col min="3087" max="3087" width="13.85546875" style="879" bestFit="1" customWidth="1"/>
    <col min="3088" max="3089" width="9.140625" style="879"/>
    <col min="3090" max="3090" width="9.5703125" style="879" bestFit="1" customWidth="1"/>
    <col min="3091" max="3323" width="9.140625" style="879"/>
    <col min="3324" max="3324" width="6.140625" style="879" customWidth="1"/>
    <col min="3325" max="3325" width="41.140625" style="879" customWidth="1"/>
    <col min="3326" max="3326" width="20.5703125" style="879" customWidth="1"/>
    <col min="3327" max="3331" width="10.28515625" style="879" bestFit="1" customWidth="1"/>
    <col min="3332" max="3332" width="12.28515625" style="879" bestFit="1" customWidth="1"/>
    <col min="3333" max="3333" width="11.42578125" style="879" customWidth="1"/>
    <col min="3334" max="3337" width="10.28515625" style="879" bestFit="1" customWidth="1"/>
    <col min="3338" max="3338" width="10" style="879" bestFit="1" customWidth="1"/>
    <col min="3339" max="3340" width="9.140625" style="879"/>
    <col min="3341" max="3341" width="10" style="879" customWidth="1"/>
    <col min="3342" max="3342" width="10.42578125" style="879" bestFit="1" customWidth="1"/>
    <col min="3343" max="3343" width="13.85546875" style="879" bestFit="1" customWidth="1"/>
    <col min="3344" max="3345" width="9.140625" style="879"/>
    <col min="3346" max="3346" width="9.5703125" style="879" bestFit="1" customWidth="1"/>
    <col min="3347" max="3579" width="9.140625" style="879"/>
    <col min="3580" max="3580" width="6.140625" style="879" customWidth="1"/>
    <col min="3581" max="3581" width="41.140625" style="879" customWidth="1"/>
    <col min="3582" max="3582" width="20.5703125" style="879" customWidth="1"/>
    <col min="3583" max="3587" width="10.28515625" style="879" bestFit="1" customWidth="1"/>
    <col min="3588" max="3588" width="12.28515625" style="879" bestFit="1" customWidth="1"/>
    <col min="3589" max="3589" width="11.42578125" style="879" customWidth="1"/>
    <col min="3590" max="3593" width="10.28515625" style="879" bestFit="1" customWidth="1"/>
    <col min="3594" max="3594" width="10" style="879" bestFit="1" customWidth="1"/>
    <col min="3595" max="3596" width="9.140625" style="879"/>
    <col min="3597" max="3597" width="10" style="879" customWidth="1"/>
    <col min="3598" max="3598" width="10.42578125" style="879" bestFit="1" customWidth="1"/>
    <col min="3599" max="3599" width="13.85546875" style="879" bestFit="1" customWidth="1"/>
    <col min="3600" max="3601" width="9.140625" style="879"/>
    <col min="3602" max="3602" width="9.5703125" style="879" bestFit="1" customWidth="1"/>
    <col min="3603" max="3835" width="9.140625" style="879"/>
    <col min="3836" max="3836" width="6.140625" style="879" customWidth="1"/>
    <col min="3837" max="3837" width="41.140625" style="879" customWidth="1"/>
    <col min="3838" max="3838" width="20.5703125" style="879" customWidth="1"/>
    <col min="3839" max="3843" width="10.28515625" style="879" bestFit="1" customWidth="1"/>
    <col min="3844" max="3844" width="12.28515625" style="879" bestFit="1" customWidth="1"/>
    <col min="3845" max="3845" width="11.42578125" style="879" customWidth="1"/>
    <col min="3846" max="3849" width="10.28515625" style="879" bestFit="1" customWidth="1"/>
    <col min="3850" max="3850" width="10" style="879" bestFit="1" customWidth="1"/>
    <col min="3851" max="3852" width="9.140625" style="879"/>
    <col min="3853" max="3853" width="10" style="879" customWidth="1"/>
    <col min="3854" max="3854" width="10.42578125" style="879" bestFit="1" customWidth="1"/>
    <col min="3855" max="3855" width="13.85546875" style="879" bestFit="1" customWidth="1"/>
    <col min="3856" max="3857" width="9.140625" style="879"/>
    <col min="3858" max="3858" width="9.5703125" style="879" bestFit="1" customWidth="1"/>
    <col min="3859" max="4091" width="9.140625" style="879"/>
    <col min="4092" max="4092" width="6.140625" style="879" customWidth="1"/>
    <col min="4093" max="4093" width="41.140625" style="879" customWidth="1"/>
    <col min="4094" max="4094" width="20.5703125" style="879" customWidth="1"/>
    <col min="4095" max="4099" width="10.28515625" style="879" bestFit="1" customWidth="1"/>
    <col min="4100" max="4100" width="12.28515625" style="879" bestFit="1" customWidth="1"/>
    <col min="4101" max="4101" width="11.42578125" style="879" customWidth="1"/>
    <col min="4102" max="4105" width="10.28515625" style="879" bestFit="1" customWidth="1"/>
    <col min="4106" max="4106" width="10" style="879" bestFit="1" customWidth="1"/>
    <col min="4107" max="4108" width="9.140625" style="879"/>
    <col min="4109" max="4109" width="10" style="879" customWidth="1"/>
    <col min="4110" max="4110" width="10.42578125" style="879" bestFit="1" customWidth="1"/>
    <col min="4111" max="4111" width="13.85546875" style="879" bestFit="1" customWidth="1"/>
    <col min="4112" max="4113" width="9.140625" style="879"/>
    <col min="4114" max="4114" width="9.5703125" style="879" bestFit="1" customWidth="1"/>
    <col min="4115" max="4347" width="9.140625" style="879"/>
    <col min="4348" max="4348" width="6.140625" style="879" customWidth="1"/>
    <col min="4349" max="4349" width="41.140625" style="879" customWidth="1"/>
    <col min="4350" max="4350" width="20.5703125" style="879" customWidth="1"/>
    <col min="4351" max="4355" width="10.28515625" style="879" bestFit="1" customWidth="1"/>
    <col min="4356" max="4356" width="12.28515625" style="879" bestFit="1" customWidth="1"/>
    <col min="4357" max="4357" width="11.42578125" style="879" customWidth="1"/>
    <col min="4358" max="4361" width="10.28515625" style="879" bestFit="1" customWidth="1"/>
    <col min="4362" max="4362" width="10" style="879" bestFit="1" customWidth="1"/>
    <col min="4363" max="4364" width="9.140625" style="879"/>
    <col min="4365" max="4365" width="10" style="879" customWidth="1"/>
    <col min="4366" max="4366" width="10.42578125" style="879" bestFit="1" customWidth="1"/>
    <col min="4367" max="4367" width="13.85546875" style="879" bestFit="1" customWidth="1"/>
    <col min="4368" max="4369" width="9.140625" style="879"/>
    <col min="4370" max="4370" width="9.5703125" style="879" bestFit="1" customWidth="1"/>
    <col min="4371" max="4603" width="9.140625" style="879"/>
    <col min="4604" max="4604" width="6.140625" style="879" customWidth="1"/>
    <col min="4605" max="4605" width="41.140625" style="879" customWidth="1"/>
    <col min="4606" max="4606" width="20.5703125" style="879" customWidth="1"/>
    <col min="4607" max="4611" width="10.28515625" style="879" bestFit="1" customWidth="1"/>
    <col min="4612" max="4612" width="12.28515625" style="879" bestFit="1" customWidth="1"/>
    <col min="4613" max="4613" width="11.42578125" style="879" customWidth="1"/>
    <col min="4614" max="4617" width="10.28515625" style="879" bestFit="1" customWidth="1"/>
    <col min="4618" max="4618" width="10" style="879" bestFit="1" customWidth="1"/>
    <col min="4619" max="4620" width="9.140625" style="879"/>
    <col min="4621" max="4621" width="10" style="879" customWidth="1"/>
    <col min="4622" max="4622" width="10.42578125" style="879" bestFit="1" customWidth="1"/>
    <col min="4623" max="4623" width="13.85546875" style="879" bestFit="1" customWidth="1"/>
    <col min="4624" max="4625" width="9.140625" style="879"/>
    <col min="4626" max="4626" width="9.5703125" style="879" bestFit="1" customWidth="1"/>
    <col min="4627" max="4859" width="9.140625" style="879"/>
    <col min="4860" max="4860" width="6.140625" style="879" customWidth="1"/>
    <col min="4861" max="4861" width="41.140625" style="879" customWidth="1"/>
    <col min="4862" max="4862" width="20.5703125" style="879" customWidth="1"/>
    <col min="4863" max="4867" width="10.28515625" style="879" bestFit="1" customWidth="1"/>
    <col min="4868" max="4868" width="12.28515625" style="879" bestFit="1" customWidth="1"/>
    <col min="4869" max="4869" width="11.42578125" style="879" customWidth="1"/>
    <col min="4870" max="4873" width="10.28515625" style="879" bestFit="1" customWidth="1"/>
    <col min="4874" max="4874" width="10" style="879" bestFit="1" customWidth="1"/>
    <col min="4875" max="4876" width="9.140625" style="879"/>
    <col min="4877" max="4877" width="10" style="879" customWidth="1"/>
    <col min="4878" max="4878" width="10.42578125" style="879" bestFit="1" customWidth="1"/>
    <col min="4879" max="4879" width="13.85546875" style="879" bestFit="1" customWidth="1"/>
    <col min="4880" max="4881" width="9.140625" style="879"/>
    <col min="4882" max="4882" width="9.5703125" style="879" bestFit="1" customWidth="1"/>
    <col min="4883" max="5115" width="9.140625" style="879"/>
    <col min="5116" max="5116" width="6.140625" style="879" customWidth="1"/>
    <col min="5117" max="5117" width="41.140625" style="879" customWidth="1"/>
    <col min="5118" max="5118" width="20.5703125" style="879" customWidth="1"/>
    <col min="5119" max="5123" width="10.28515625" style="879" bestFit="1" customWidth="1"/>
    <col min="5124" max="5124" width="12.28515625" style="879" bestFit="1" customWidth="1"/>
    <col min="5125" max="5125" width="11.42578125" style="879" customWidth="1"/>
    <col min="5126" max="5129" width="10.28515625" style="879" bestFit="1" customWidth="1"/>
    <col min="5130" max="5130" width="10" style="879" bestFit="1" customWidth="1"/>
    <col min="5131" max="5132" width="9.140625" style="879"/>
    <col min="5133" max="5133" width="10" style="879" customWidth="1"/>
    <col min="5134" max="5134" width="10.42578125" style="879" bestFit="1" customWidth="1"/>
    <col min="5135" max="5135" width="13.85546875" style="879" bestFit="1" customWidth="1"/>
    <col min="5136" max="5137" width="9.140625" style="879"/>
    <col min="5138" max="5138" width="9.5703125" style="879" bestFit="1" customWidth="1"/>
    <col min="5139" max="5371" width="9.140625" style="879"/>
    <col min="5372" max="5372" width="6.140625" style="879" customWidth="1"/>
    <col min="5373" max="5373" width="41.140625" style="879" customWidth="1"/>
    <col min="5374" max="5374" width="20.5703125" style="879" customWidth="1"/>
    <col min="5375" max="5379" width="10.28515625" style="879" bestFit="1" customWidth="1"/>
    <col min="5380" max="5380" width="12.28515625" style="879" bestFit="1" customWidth="1"/>
    <col min="5381" max="5381" width="11.42578125" style="879" customWidth="1"/>
    <col min="5382" max="5385" width="10.28515625" style="879" bestFit="1" customWidth="1"/>
    <col min="5386" max="5386" width="10" style="879" bestFit="1" customWidth="1"/>
    <col min="5387" max="5388" width="9.140625" style="879"/>
    <col min="5389" max="5389" width="10" style="879" customWidth="1"/>
    <col min="5390" max="5390" width="10.42578125" style="879" bestFit="1" customWidth="1"/>
    <col min="5391" max="5391" width="13.85546875" style="879" bestFit="1" customWidth="1"/>
    <col min="5392" max="5393" width="9.140625" style="879"/>
    <col min="5394" max="5394" width="9.5703125" style="879" bestFit="1" customWidth="1"/>
    <col min="5395" max="5627" width="9.140625" style="879"/>
    <col min="5628" max="5628" width="6.140625" style="879" customWidth="1"/>
    <col min="5629" max="5629" width="41.140625" style="879" customWidth="1"/>
    <col min="5630" max="5630" width="20.5703125" style="879" customWidth="1"/>
    <col min="5631" max="5635" width="10.28515625" style="879" bestFit="1" customWidth="1"/>
    <col min="5636" max="5636" width="12.28515625" style="879" bestFit="1" customWidth="1"/>
    <col min="5637" max="5637" width="11.42578125" style="879" customWidth="1"/>
    <col min="5638" max="5641" width="10.28515625" style="879" bestFit="1" customWidth="1"/>
    <col min="5642" max="5642" width="10" style="879" bestFit="1" customWidth="1"/>
    <col min="5643" max="5644" width="9.140625" style="879"/>
    <col min="5645" max="5645" width="10" style="879" customWidth="1"/>
    <col min="5646" max="5646" width="10.42578125" style="879" bestFit="1" customWidth="1"/>
    <col min="5647" max="5647" width="13.85546875" style="879" bestFit="1" customWidth="1"/>
    <col min="5648" max="5649" width="9.140625" style="879"/>
    <col min="5650" max="5650" width="9.5703125" style="879" bestFit="1" customWidth="1"/>
    <col min="5651" max="5883" width="9.140625" style="879"/>
    <col min="5884" max="5884" width="6.140625" style="879" customWidth="1"/>
    <col min="5885" max="5885" width="41.140625" style="879" customWidth="1"/>
    <col min="5886" max="5886" width="20.5703125" style="879" customWidth="1"/>
    <col min="5887" max="5891" width="10.28515625" style="879" bestFit="1" customWidth="1"/>
    <col min="5892" max="5892" width="12.28515625" style="879" bestFit="1" customWidth="1"/>
    <col min="5893" max="5893" width="11.42578125" style="879" customWidth="1"/>
    <col min="5894" max="5897" width="10.28515625" style="879" bestFit="1" customWidth="1"/>
    <col min="5898" max="5898" width="10" style="879" bestFit="1" customWidth="1"/>
    <col min="5899" max="5900" width="9.140625" style="879"/>
    <col min="5901" max="5901" width="10" style="879" customWidth="1"/>
    <col min="5902" max="5902" width="10.42578125" style="879" bestFit="1" customWidth="1"/>
    <col min="5903" max="5903" width="13.85546875" style="879" bestFit="1" customWidth="1"/>
    <col min="5904" max="5905" width="9.140625" style="879"/>
    <col min="5906" max="5906" width="9.5703125" style="879" bestFit="1" customWidth="1"/>
    <col min="5907" max="6139" width="9.140625" style="879"/>
    <col min="6140" max="6140" width="6.140625" style="879" customWidth="1"/>
    <col min="6141" max="6141" width="41.140625" style="879" customWidth="1"/>
    <col min="6142" max="6142" width="20.5703125" style="879" customWidth="1"/>
    <col min="6143" max="6147" width="10.28515625" style="879" bestFit="1" customWidth="1"/>
    <col min="6148" max="6148" width="12.28515625" style="879" bestFit="1" customWidth="1"/>
    <col min="6149" max="6149" width="11.42578125" style="879" customWidth="1"/>
    <col min="6150" max="6153" width="10.28515625" style="879" bestFit="1" customWidth="1"/>
    <col min="6154" max="6154" width="10" style="879" bestFit="1" customWidth="1"/>
    <col min="6155" max="6156" width="9.140625" style="879"/>
    <col min="6157" max="6157" width="10" style="879" customWidth="1"/>
    <col min="6158" max="6158" width="10.42578125" style="879" bestFit="1" customWidth="1"/>
    <col min="6159" max="6159" width="13.85546875" style="879" bestFit="1" customWidth="1"/>
    <col min="6160" max="6161" width="9.140625" style="879"/>
    <col min="6162" max="6162" width="9.5703125" style="879" bestFit="1" customWidth="1"/>
    <col min="6163" max="6395" width="9.140625" style="879"/>
    <col min="6396" max="6396" width="6.140625" style="879" customWidth="1"/>
    <col min="6397" max="6397" width="41.140625" style="879" customWidth="1"/>
    <col min="6398" max="6398" width="20.5703125" style="879" customWidth="1"/>
    <col min="6399" max="6403" width="10.28515625" style="879" bestFit="1" customWidth="1"/>
    <col min="6404" max="6404" width="12.28515625" style="879" bestFit="1" customWidth="1"/>
    <col min="6405" max="6405" width="11.42578125" style="879" customWidth="1"/>
    <col min="6406" max="6409" width="10.28515625" style="879" bestFit="1" customWidth="1"/>
    <col min="6410" max="6410" width="10" style="879" bestFit="1" customWidth="1"/>
    <col min="6411" max="6412" width="9.140625" style="879"/>
    <col min="6413" max="6413" width="10" style="879" customWidth="1"/>
    <col min="6414" max="6414" width="10.42578125" style="879" bestFit="1" customWidth="1"/>
    <col min="6415" max="6415" width="13.85546875" style="879" bestFit="1" customWidth="1"/>
    <col min="6416" max="6417" width="9.140625" style="879"/>
    <col min="6418" max="6418" width="9.5703125" style="879" bestFit="1" customWidth="1"/>
    <col min="6419" max="6651" width="9.140625" style="879"/>
    <col min="6652" max="6652" width="6.140625" style="879" customWidth="1"/>
    <col min="6653" max="6653" width="41.140625" style="879" customWidth="1"/>
    <col min="6654" max="6654" width="20.5703125" style="879" customWidth="1"/>
    <col min="6655" max="6659" width="10.28515625" style="879" bestFit="1" customWidth="1"/>
    <col min="6660" max="6660" width="12.28515625" style="879" bestFit="1" customWidth="1"/>
    <col min="6661" max="6661" width="11.42578125" style="879" customWidth="1"/>
    <col min="6662" max="6665" width="10.28515625" style="879" bestFit="1" customWidth="1"/>
    <col min="6666" max="6666" width="10" style="879" bestFit="1" customWidth="1"/>
    <col min="6667" max="6668" width="9.140625" style="879"/>
    <col min="6669" max="6669" width="10" style="879" customWidth="1"/>
    <col min="6670" max="6670" width="10.42578125" style="879" bestFit="1" customWidth="1"/>
    <col min="6671" max="6671" width="13.85546875" style="879" bestFit="1" customWidth="1"/>
    <col min="6672" max="6673" width="9.140625" style="879"/>
    <col min="6674" max="6674" width="9.5703125" style="879" bestFit="1" customWidth="1"/>
    <col min="6675" max="6907" width="9.140625" style="879"/>
    <col min="6908" max="6908" width="6.140625" style="879" customWidth="1"/>
    <col min="6909" max="6909" width="41.140625" style="879" customWidth="1"/>
    <col min="6910" max="6910" width="20.5703125" style="879" customWidth="1"/>
    <col min="6911" max="6915" width="10.28515625" style="879" bestFit="1" customWidth="1"/>
    <col min="6916" max="6916" width="12.28515625" style="879" bestFit="1" customWidth="1"/>
    <col min="6917" max="6917" width="11.42578125" style="879" customWidth="1"/>
    <col min="6918" max="6921" width="10.28515625" style="879" bestFit="1" customWidth="1"/>
    <col min="6922" max="6922" width="10" style="879" bestFit="1" customWidth="1"/>
    <col min="6923" max="6924" width="9.140625" style="879"/>
    <col min="6925" max="6925" width="10" style="879" customWidth="1"/>
    <col min="6926" max="6926" width="10.42578125" style="879" bestFit="1" customWidth="1"/>
    <col min="6927" max="6927" width="13.85546875" style="879" bestFit="1" customWidth="1"/>
    <col min="6928" max="6929" width="9.140625" style="879"/>
    <col min="6930" max="6930" width="9.5703125" style="879" bestFit="1" customWidth="1"/>
    <col min="6931" max="7163" width="9.140625" style="879"/>
    <col min="7164" max="7164" width="6.140625" style="879" customWidth="1"/>
    <col min="7165" max="7165" width="41.140625" style="879" customWidth="1"/>
    <col min="7166" max="7166" width="20.5703125" style="879" customWidth="1"/>
    <col min="7167" max="7171" width="10.28515625" style="879" bestFit="1" customWidth="1"/>
    <col min="7172" max="7172" width="12.28515625" style="879" bestFit="1" customWidth="1"/>
    <col min="7173" max="7173" width="11.42578125" style="879" customWidth="1"/>
    <col min="7174" max="7177" width="10.28515625" style="879" bestFit="1" customWidth="1"/>
    <col min="7178" max="7178" width="10" style="879" bestFit="1" customWidth="1"/>
    <col min="7179" max="7180" width="9.140625" style="879"/>
    <col min="7181" max="7181" width="10" style="879" customWidth="1"/>
    <col min="7182" max="7182" width="10.42578125" style="879" bestFit="1" customWidth="1"/>
    <col min="7183" max="7183" width="13.85546875" style="879" bestFit="1" customWidth="1"/>
    <col min="7184" max="7185" width="9.140625" style="879"/>
    <col min="7186" max="7186" width="9.5703125" style="879" bestFit="1" customWidth="1"/>
    <col min="7187" max="7419" width="9.140625" style="879"/>
    <col min="7420" max="7420" width="6.140625" style="879" customWidth="1"/>
    <col min="7421" max="7421" width="41.140625" style="879" customWidth="1"/>
    <col min="7422" max="7422" width="20.5703125" style="879" customWidth="1"/>
    <col min="7423" max="7427" width="10.28515625" style="879" bestFit="1" customWidth="1"/>
    <col min="7428" max="7428" width="12.28515625" style="879" bestFit="1" customWidth="1"/>
    <col min="7429" max="7429" width="11.42578125" style="879" customWidth="1"/>
    <col min="7430" max="7433" width="10.28515625" style="879" bestFit="1" customWidth="1"/>
    <col min="7434" max="7434" width="10" style="879" bestFit="1" customWidth="1"/>
    <col min="7435" max="7436" width="9.140625" style="879"/>
    <col min="7437" max="7437" width="10" style="879" customWidth="1"/>
    <col min="7438" max="7438" width="10.42578125" style="879" bestFit="1" customWidth="1"/>
    <col min="7439" max="7439" width="13.85546875" style="879" bestFit="1" customWidth="1"/>
    <col min="7440" max="7441" width="9.140625" style="879"/>
    <col min="7442" max="7442" width="9.5703125" style="879" bestFit="1" customWidth="1"/>
    <col min="7443" max="7675" width="9.140625" style="879"/>
    <col min="7676" max="7676" width="6.140625" style="879" customWidth="1"/>
    <col min="7677" max="7677" width="41.140625" style="879" customWidth="1"/>
    <col min="7678" max="7678" width="20.5703125" style="879" customWidth="1"/>
    <col min="7679" max="7683" width="10.28515625" style="879" bestFit="1" customWidth="1"/>
    <col min="7684" max="7684" width="12.28515625" style="879" bestFit="1" customWidth="1"/>
    <col min="7685" max="7685" width="11.42578125" style="879" customWidth="1"/>
    <col min="7686" max="7689" width="10.28515625" style="879" bestFit="1" customWidth="1"/>
    <col min="7690" max="7690" width="10" style="879" bestFit="1" customWidth="1"/>
    <col min="7691" max="7692" width="9.140625" style="879"/>
    <col min="7693" max="7693" width="10" style="879" customWidth="1"/>
    <col min="7694" max="7694" width="10.42578125" style="879" bestFit="1" customWidth="1"/>
    <col min="7695" max="7695" width="13.85546875" style="879" bestFit="1" customWidth="1"/>
    <col min="7696" max="7697" width="9.140625" style="879"/>
    <col min="7698" max="7698" width="9.5703125" style="879" bestFit="1" customWidth="1"/>
    <col min="7699" max="7931" width="9.140625" style="879"/>
    <col min="7932" max="7932" width="6.140625" style="879" customWidth="1"/>
    <col min="7933" max="7933" width="41.140625" style="879" customWidth="1"/>
    <col min="7934" max="7934" width="20.5703125" style="879" customWidth="1"/>
    <col min="7935" max="7939" width="10.28515625" style="879" bestFit="1" customWidth="1"/>
    <col min="7940" max="7940" width="12.28515625" style="879" bestFit="1" customWidth="1"/>
    <col min="7941" max="7941" width="11.42578125" style="879" customWidth="1"/>
    <col min="7942" max="7945" width="10.28515625" style="879" bestFit="1" customWidth="1"/>
    <col min="7946" max="7946" width="10" style="879" bestFit="1" customWidth="1"/>
    <col min="7947" max="7948" width="9.140625" style="879"/>
    <col min="7949" max="7949" width="10" style="879" customWidth="1"/>
    <col min="7950" max="7950" width="10.42578125" style="879" bestFit="1" customWidth="1"/>
    <col min="7951" max="7951" width="13.85546875" style="879" bestFit="1" customWidth="1"/>
    <col min="7952" max="7953" width="9.140625" style="879"/>
    <col min="7954" max="7954" width="9.5703125" style="879" bestFit="1" customWidth="1"/>
    <col min="7955" max="8187" width="9.140625" style="879"/>
    <col min="8188" max="8188" width="6.140625" style="879" customWidth="1"/>
    <col min="8189" max="8189" width="41.140625" style="879" customWidth="1"/>
    <col min="8190" max="8190" width="20.5703125" style="879" customWidth="1"/>
    <col min="8191" max="8195" width="10.28515625" style="879" bestFit="1" customWidth="1"/>
    <col min="8196" max="8196" width="12.28515625" style="879" bestFit="1" customWidth="1"/>
    <col min="8197" max="8197" width="11.42578125" style="879" customWidth="1"/>
    <col min="8198" max="8201" width="10.28515625" style="879" bestFit="1" customWidth="1"/>
    <col min="8202" max="8202" width="10" style="879" bestFit="1" customWidth="1"/>
    <col min="8203" max="8204" width="9.140625" style="879"/>
    <col min="8205" max="8205" width="10" style="879" customWidth="1"/>
    <col min="8206" max="8206" width="10.42578125" style="879" bestFit="1" customWidth="1"/>
    <col min="8207" max="8207" width="13.85546875" style="879" bestFit="1" customWidth="1"/>
    <col min="8208" max="8209" width="9.140625" style="879"/>
    <col min="8210" max="8210" width="9.5703125" style="879" bestFit="1" customWidth="1"/>
    <col min="8211" max="8443" width="9.140625" style="879"/>
    <col min="8444" max="8444" width="6.140625" style="879" customWidth="1"/>
    <col min="8445" max="8445" width="41.140625" style="879" customWidth="1"/>
    <col min="8446" max="8446" width="20.5703125" style="879" customWidth="1"/>
    <col min="8447" max="8451" width="10.28515625" style="879" bestFit="1" customWidth="1"/>
    <col min="8452" max="8452" width="12.28515625" style="879" bestFit="1" customWidth="1"/>
    <col min="8453" max="8453" width="11.42578125" style="879" customWidth="1"/>
    <col min="8454" max="8457" width="10.28515625" style="879" bestFit="1" customWidth="1"/>
    <col min="8458" max="8458" width="10" style="879" bestFit="1" customWidth="1"/>
    <col min="8459" max="8460" width="9.140625" style="879"/>
    <col min="8461" max="8461" width="10" style="879" customWidth="1"/>
    <col min="8462" max="8462" width="10.42578125" style="879" bestFit="1" customWidth="1"/>
    <col min="8463" max="8463" width="13.85546875" style="879" bestFit="1" customWidth="1"/>
    <col min="8464" max="8465" width="9.140625" style="879"/>
    <col min="8466" max="8466" width="9.5703125" style="879" bestFit="1" customWidth="1"/>
    <col min="8467" max="8699" width="9.140625" style="879"/>
    <col min="8700" max="8700" width="6.140625" style="879" customWidth="1"/>
    <col min="8701" max="8701" width="41.140625" style="879" customWidth="1"/>
    <col min="8702" max="8702" width="20.5703125" style="879" customWidth="1"/>
    <col min="8703" max="8707" width="10.28515625" style="879" bestFit="1" customWidth="1"/>
    <col min="8708" max="8708" width="12.28515625" style="879" bestFit="1" customWidth="1"/>
    <col min="8709" max="8709" width="11.42578125" style="879" customWidth="1"/>
    <col min="8710" max="8713" width="10.28515625" style="879" bestFit="1" customWidth="1"/>
    <col min="8714" max="8714" width="10" style="879" bestFit="1" customWidth="1"/>
    <col min="8715" max="8716" width="9.140625" style="879"/>
    <col min="8717" max="8717" width="10" style="879" customWidth="1"/>
    <col min="8718" max="8718" width="10.42578125" style="879" bestFit="1" customWidth="1"/>
    <col min="8719" max="8719" width="13.85546875" style="879" bestFit="1" customWidth="1"/>
    <col min="8720" max="8721" width="9.140625" style="879"/>
    <col min="8722" max="8722" width="9.5703125" style="879" bestFit="1" customWidth="1"/>
    <col min="8723" max="8955" width="9.140625" style="879"/>
    <col min="8956" max="8956" width="6.140625" style="879" customWidth="1"/>
    <col min="8957" max="8957" width="41.140625" style="879" customWidth="1"/>
    <col min="8958" max="8958" width="20.5703125" style="879" customWidth="1"/>
    <col min="8959" max="8963" width="10.28515625" style="879" bestFit="1" customWidth="1"/>
    <col min="8964" max="8964" width="12.28515625" style="879" bestFit="1" customWidth="1"/>
    <col min="8965" max="8965" width="11.42578125" style="879" customWidth="1"/>
    <col min="8966" max="8969" width="10.28515625" style="879" bestFit="1" customWidth="1"/>
    <col min="8970" max="8970" width="10" style="879" bestFit="1" customWidth="1"/>
    <col min="8971" max="8972" width="9.140625" style="879"/>
    <col min="8973" max="8973" width="10" style="879" customWidth="1"/>
    <col min="8974" max="8974" width="10.42578125" style="879" bestFit="1" customWidth="1"/>
    <col min="8975" max="8975" width="13.85546875" style="879" bestFit="1" customWidth="1"/>
    <col min="8976" max="8977" width="9.140625" style="879"/>
    <col min="8978" max="8978" width="9.5703125" style="879" bestFit="1" customWidth="1"/>
    <col min="8979" max="9211" width="9.140625" style="879"/>
    <col min="9212" max="9212" width="6.140625" style="879" customWidth="1"/>
    <col min="9213" max="9213" width="41.140625" style="879" customWidth="1"/>
    <col min="9214" max="9214" width="20.5703125" style="879" customWidth="1"/>
    <col min="9215" max="9219" width="10.28515625" style="879" bestFit="1" customWidth="1"/>
    <col min="9220" max="9220" width="12.28515625" style="879" bestFit="1" customWidth="1"/>
    <col min="9221" max="9221" width="11.42578125" style="879" customWidth="1"/>
    <col min="9222" max="9225" width="10.28515625" style="879" bestFit="1" customWidth="1"/>
    <col min="9226" max="9226" width="10" style="879" bestFit="1" customWidth="1"/>
    <col min="9227" max="9228" width="9.140625" style="879"/>
    <col min="9229" max="9229" width="10" style="879" customWidth="1"/>
    <col min="9230" max="9230" width="10.42578125" style="879" bestFit="1" customWidth="1"/>
    <col min="9231" max="9231" width="13.85546875" style="879" bestFit="1" customWidth="1"/>
    <col min="9232" max="9233" width="9.140625" style="879"/>
    <col min="9234" max="9234" width="9.5703125" style="879" bestFit="1" customWidth="1"/>
    <col min="9235" max="9467" width="9.140625" style="879"/>
    <col min="9468" max="9468" width="6.140625" style="879" customWidth="1"/>
    <col min="9469" max="9469" width="41.140625" style="879" customWidth="1"/>
    <col min="9470" max="9470" width="20.5703125" style="879" customWidth="1"/>
    <col min="9471" max="9475" width="10.28515625" style="879" bestFit="1" customWidth="1"/>
    <col min="9476" max="9476" width="12.28515625" style="879" bestFit="1" customWidth="1"/>
    <col min="9477" max="9477" width="11.42578125" style="879" customWidth="1"/>
    <col min="9478" max="9481" width="10.28515625" style="879" bestFit="1" customWidth="1"/>
    <col min="9482" max="9482" width="10" style="879" bestFit="1" customWidth="1"/>
    <col min="9483" max="9484" width="9.140625" style="879"/>
    <col min="9485" max="9485" width="10" style="879" customWidth="1"/>
    <col min="9486" max="9486" width="10.42578125" style="879" bestFit="1" customWidth="1"/>
    <col min="9487" max="9487" width="13.85546875" style="879" bestFit="1" customWidth="1"/>
    <col min="9488" max="9489" width="9.140625" style="879"/>
    <col min="9490" max="9490" width="9.5703125" style="879" bestFit="1" customWidth="1"/>
    <col min="9491" max="9723" width="9.140625" style="879"/>
    <col min="9724" max="9724" width="6.140625" style="879" customWidth="1"/>
    <col min="9725" max="9725" width="41.140625" style="879" customWidth="1"/>
    <col min="9726" max="9726" width="20.5703125" style="879" customWidth="1"/>
    <col min="9727" max="9731" width="10.28515625" style="879" bestFit="1" customWidth="1"/>
    <col min="9732" max="9732" width="12.28515625" style="879" bestFit="1" customWidth="1"/>
    <col min="9733" max="9733" width="11.42578125" style="879" customWidth="1"/>
    <col min="9734" max="9737" width="10.28515625" style="879" bestFit="1" customWidth="1"/>
    <col min="9738" max="9738" width="10" style="879" bestFit="1" customWidth="1"/>
    <col min="9739" max="9740" width="9.140625" style="879"/>
    <col min="9741" max="9741" width="10" style="879" customWidth="1"/>
    <col min="9742" max="9742" width="10.42578125" style="879" bestFit="1" customWidth="1"/>
    <col min="9743" max="9743" width="13.85546875" style="879" bestFit="1" customWidth="1"/>
    <col min="9744" max="9745" width="9.140625" style="879"/>
    <col min="9746" max="9746" width="9.5703125" style="879" bestFit="1" customWidth="1"/>
    <col min="9747" max="9979" width="9.140625" style="879"/>
    <col min="9980" max="9980" width="6.140625" style="879" customWidth="1"/>
    <col min="9981" max="9981" width="41.140625" style="879" customWidth="1"/>
    <col min="9982" max="9982" width="20.5703125" style="879" customWidth="1"/>
    <col min="9983" max="9987" width="10.28515625" style="879" bestFit="1" customWidth="1"/>
    <col min="9988" max="9988" width="12.28515625" style="879" bestFit="1" customWidth="1"/>
    <col min="9989" max="9989" width="11.42578125" style="879" customWidth="1"/>
    <col min="9990" max="9993" width="10.28515625" style="879" bestFit="1" customWidth="1"/>
    <col min="9994" max="9994" width="10" style="879" bestFit="1" customWidth="1"/>
    <col min="9995" max="9996" width="9.140625" style="879"/>
    <col min="9997" max="9997" width="10" style="879" customWidth="1"/>
    <col min="9998" max="9998" width="10.42578125" style="879" bestFit="1" customWidth="1"/>
    <col min="9999" max="9999" width="13.85546875" style="879" bestFit="1" customWidth="1"/>
    <col min="10000" max="10001" width="9.140625" style="879"/>
    <col min="10002" max="10002" width="9.5703125" style="879" bestFit="1" customWidth="1"/>
    <col min="10003" max="10235" width="9.140625" style="879"/>
    <col min="10236" max="10236" width="6.140625" style="879" customWidth="1"/>
    <col min="10237" max="10237" width="41.140625" style="879" customWidth="1"/>
    <col min="10238" max="10238" width="20.5703125" style="879" customWidth="1"/>
    <col min="10239" max="10243" width="10.28515625" style="879" bestFit="1" customWidth="1"/>
    <col min="10244" max="10244" width="12.28515625" style="879" bestFit="1" customWidth="1"/>
    <col min="10245" max="10245" width="11.42578125" style="879" customWidth="1"/>
    <col min="10246" max="10249" width="10.28515625" style="879" bestFit="1" customWidth="1"/>
    <col min="10250" max="10250" width="10" style="879" bestFit="1" customWidth="1"/>
    <col min="10251" max="10252" width="9.140625" style="879"/>
    <col min="10253" max="10253" width="10" style="879" customWidth="1"/>
    <col min="10254" max="10254" width="10.42578125" style="879" bestFit="1" customWidth="1"/>
    <col min="10255" max="10255" width="13.85546875" style="879" bestFit="1" customWidth="1"/>
    <col min="10256" max="10257" width="9.140625" style="879"/>
    <col min="10258" max="10258" width="9.5703125" style="879" bestFit="1" customWidth="1"/>
    <col min="10259" max="10491" width="9.140625" style="879"/>
    <col min="10492" max="10492" width="6.140625" style="879" customWidth="1"/>
    <col min="10493" max="10493" width="41.140625" style="879" customWidth="1"/>
    <col min="10494" max="10494" width="20.5703125" style="879" customWidth="1"/>
    <col min="10495" max="10499" width="10.28515625" style="879" bestFit="1" customWidth="1"/>
    <col min="10500" max="10500" width="12.28515625" style="879" bestFit="1" customWidth="1"/>
    <col min="10501" max="10501" width="11.42578125" style="879" customWidth="1"/>
    <col min="10502" max="10505" width="10.28515625" style="879" bestFit="1" customWidth="1"/>
    <col min="10506" max="10506" width="10" style="879" bestFit="1" customWidth="1"/>
    <col min="10507" max="10508" width="9.140625" style="879"/>
    <col min="10509" max="10509" width="10" style="879" customWidth="1"/>
    <col min="10510" max="10510" width="10.42578125" style="879" bestFit="1" customWidth="1"/>
    <col min="10511" max="10511" width="13.85546875" style="879" bestFit="1" customWidth="1"/>
    <col min="10512" max="10513" width="9.140625" style="879"/>
    <col min="10514" max="10514" width="9.5703125" style="879" bestFit="1" customWidth="1"/>
    <col min="10515" max="10747" width="9.140625" style="879"/>
    <col min="10748" max="10748" width="6.140625" style="879" customWidth="1"/>
    <col min="10749" max="10749" width="41.140625" style="879" customWidth="1"/>
    <col min="10750" max="10750" width="20.5703125" style="879" customWidth="1"/>
    <col min="10751" max="10755" width="10.28515625" style="879" bestFit="1" customWidth="1"/>
    <col min="10756" max="10756" width="12.28515625" style="879" bestFit="1" customWidth="1"/>
    <col min="10757" max="10757" width="11.42578125" style="879" customWidth="1"/>
    <col min="10758" max="10761" width="10.28515625" style="879" bestFit="1" customWidth="1"/>
    <col min="10762" max="10762" width="10" style="879" bestFit="1" customWidth="1"/>
    <col min="10763" max="10764" width="9.140625" style="879"/>
    <col min="10765" max="10765" width="10" style="879" customWidth="1"/>
    <col min="10766" max="10766" width="10.42578125" style="879" bestFit="1" customWidth="1"/>
    <col min="10767" max="10767" width="13.85546875" style="879" bestFit="1" customWidth="1"/>
    <col min="10768" max="10769" width="9.140625" style="879"/>
    <col min="10770" max="10770" width="9.5703125" style="879" bestFit="1" customWidth="1"/>
    <col min="10771" max="11003" width="9.140625" style="879"/>
    <col min="11004" max="11004" width="6.140625" style="879" customWidth="1"/>
    <col min="11005" max="11005" width="41.140625" style="879" customWidth="1"/>
    <col min="11006" max="11006" width="20.5703125" style="879" customWidth="1"/>
    <col min="11007" max="11011" width="10.28515625" style="879" bestFit="1" customWidth="1"/>
    <col min="11012" max="11012" width="12.28515625" style="879" bestFit="1" customWidth="1"/>
    <col min="11013" max="11013" width="11.42578125" style="879" customWidth="1"/>
    <col min="11014" max="11017" width="10.28515625" style="879" bestFit="1" customWidth="1"/>
    <col min="11018" max="11018" width="10" style="879" bestFit="1" customWidth="1"/>
    <col min="11019" max="11020" width="9.140625" style="879"/>
    <col min="11021" max="11021" width="10" style="879" customWidth="1"/>
    <col min="11022" max="11022" width="10.42578125" style="879" bestFit="1" customWidth="1"/>
    <col min="11023" max="11023" width="13.85546875" style="879" bestFit="1" customWidth="1"/>
    <col min="11024" max="11025" width="9.140625" style="879"/>
    <col min="11026" max="11026" width="9.5703125" style="879" bestFit="1" customWidth="1"/>
    <col min="11027" max="11259" width="9.140625" style="879"/>
    <col min="11260" max="11260" width="6.140625" style="879" customWidth="1"/>
    <col min="11261" max="11261" width="41.140625" style="879" customWidth="1"/>
    <col min="11262" max="11262" width="20.5703125" style="879" customWidth="1"/>
    <col min="11263" max="11267" width="10.28515625" style="879" bestFit="1" customWidth="1"/>
    <col min="11268" max="11268" width="12.28515625" style="879" bestFit="1" customWidth="1"/>
    <col min="11269" max="11269" width="11.42578125" style="879" customWidth="1"/>
    <col min="11270" max="11273" width="10.28515625" style="879" bestFit="1" customWidth="1"/>
    <col min="11274" max="11274" width="10" style="879" bestFit="1" customWidth="1"/>
    <col min="11275" max="11276" width="9.140625" style="879"/>
    <col min="11277" max="11277" width="10" style="879" customWidth="1"/>
    <col min="11278" max="11278" width="10.42578125" style="879" bestFit="1" customWidth="1"/>
    <col min="11279" max="11279" width="13.85546875" style="879" bestFit="1" customWidth="1"/>
    <col min="11280" max="11281" width="9.140625" style="879"/>
    <col min="11282" max="11282" width="9.5703125" style="879" bestFit="1" customWidth="1"/>
    <col min="11283" max="11515" width="9.140625" style="879"/>
    <col min="11516" max="11516" width="6.140625" style="879" customWidth="1"/>
    <col min="11517" max="11517" width="41.140625" style="879" customWidth="1"/>
    <col min="11518" max="11518" width="20.5703125" style="879" customWidth="1"/>
    <col min="11519" max="11523" width="10.28515625" style="879" bestFit="1" customWidth="1"/>
    <col min="11524" max="11524" width="12.28515625" style="879" bestFit="1" customWidth="1"/>
    <col min="11525" max="11525" width="11.42578125" style="879" customWidth="1"/>
    <col min="11526" max="11529" width="10.28515625" style="879" bestFit="1" customWidth="1"/>
    <col min="11530" max="11530" width="10" style="879" bestFit="1" customWidth="1"/>
    <col min="11531" max="11532" width="9.140625" style="879"/>
    <col min="11533" max="11533" width="10" style="879" customWidth="1"/>
    <col min="11534" max="11534" width="10.42578125" style="879" bestFit="1" customWidth="1"/>
    <col min="11535" max="11535" width="13.85546875" style="879" bestFit="1" customWidth="1"/>
    <col min="11536" max="11537" width="9.140625" style="879"/>
    <col min="11538" max="11538" width="9.5703125" style="879" bestFit="1" customWidth="1"/>
    <col min="11539" max="11771" width="9.140625" style="879"/>
    <col min="11772" max="11772" width="6.140625" style="879" customWidth="1"/>
    <col min="11773" max="11773" width="41.140625" style="879" customWidth="1"/>
    <col min="11774" max="11774" width="20.5703125" style="879" customWidth="1"/>
    <col min="11775" max="11779" width="10.28515625" style="879" bestFit="1" customWidth="1"/>
    <col min="11780" max="11780" width="12.28515625" style="879" bestFit="1" customWidth="1"/>
    <col min="11781" max="11781" width="11.42578125" style="879" customWidth="1"/>
    <col min="11782" max="11785" width="10.28515625" style="879" bestFit="1" customWidth="1"/>
    <col min="11786" max="11786" width="10" style="879" bestFit="1" customWidth="1"/>
    <col min="11787" max="11788" width="9.140625" style="879"/>
    <col min="11789" max="11789" width="10" style="879" customWidth="1"/>
    <col min="11790" max="11790" width="10.42578125" style="879" bestFit="1" customWidth="1"/>
    <col min="11791" max="11791" width="13.85546875" style="879" bestFit="1" customWidth="1"/>
    <col min="11792" max="11793" width="9.140625" style="879"/>
    <col min="11794" max="11794" width="9.5703125" style="879" bestFit="1" customWidth="1"/>
    <col min="11795" max="12027" width="9.140625" style="879"/>
    <col min="12028" max="12028" width="6.140625" style="879" customWidth="1"/>
    <col min="12029" max="12029" width="41.140625" style="879" customWidth="1"/>
    <col min="12030" max="12030" width="20.5703125" style="879" customWidth="1"/>
    <col min="12031" max="12035" width="10.28515625" style="879" bestFit="1" customWidth="1"/>
    <col min="12036" max="12036" width="12.28515625" style="879" bestFit="1" customWidth="1"/>
    <col min="12037" max="12037" width="11.42578125" style="879" customWidth="1"/>
    <col min="12038" max="12041" width="10.28515625" style="879" bestFit="1" customWidth="1"/>
    <col min="12042" max="12042" width="10" style="879" bestFit="1" customWidth="1"/>
    <col min="12043" max="12044" width="9.140625" style="879"/>
    <col min="12045" max="12045" width="10" style="879" customWidth="1"/>
    <col min="12046" max="12046" width="10.42578125" style="879" bestFit="1" customWidth="1"/>
    <col min="12047" max="12047" width="13.85546875" style="879" bestFit="1" customWidth="1"/>
    <col min="12048" max="12049" width="9.140625" style="879"/>
    <col min="12050" max="12050" width="9.5703125" style="879" bestFit="1" customWidth="1"/>
    <col min="12051" max="12283" width="9.140625" style="879"/>
    <col min="12284" max="12284" width="6.140625" style="879" customWidth="1"/>
    <col min="12285" max="12285" width="41.140625" style="879" customWidth="1"/>
    <col min="12286" max="12286" width="20.5703125" style="879" customWidth="1"/>
    <col min="12287" max="12291" width="10.28515625" style="879" bestFit="1" customWidth="1"/>
    <col min="12292" max="12292" width="12.28515625" style="879" bestFit="1" customWidth="1"/>
    <col min="12293" max="12293" width="11.42578125" style="879" customWidth="1"/>
    <col min="12294" max="12297" width="10.28515625" style="879" bestFit="1" customWidth="1"/>
    <col min="12298" max="12298" width="10" style="879" bestFit="1" customWidth="1"/>
    <col min="12299" max="12300" width="9.140625" style="879"/>
    <col min="12301" max="12301" width="10" style="879" customWidth="1"/>
    <col min="12302" max="12302" width="10.42578125" style="879" bestFit="1" customWidth="1"/>
    <col min="12303" max="12303" width="13.85546875" style="879" bestFit="1" customWidth="1"/>
    <col min="12304" max="12305" width="9.140625" style="879"/>
    <col min="12306" max="12306" width="9.5703125" style="879" bestFit="1" customWidth="1"/>
    <col min="12307" max="12539" width="9.140625" style="879"/>
    <col min="12540" max="12540" width="6.140625" style="879" customWidth="1"/>
    <col min="12541" max="12541" width="41.140625" style="879" customWidth="1"/>
    <col min="12542" max="12542" width="20.5703125" style="879" customWidth="1"/>
    <col min="12543" max="12547" width="10.28515625" style="879" bestFit="1" customWidth="1"/>
    <col min="12548" max="12548" width="12.28515625" style="879" bestFit="1" customWidth="1"/>
    <col min="12549" max="12549" width="11.42578125" style="879" customWidth="1"/>
    <col min="12550" max="12553" width="10.28515625" style="879" bestFit="1" customWidth="1"/>
    <col min="12554" max="12554" width="10" style="879" bestFit="1" customWidth="1"/>
    <col min="12555" max="12556" width="9.140625" style="879"/>
    <col min="12557" max="12557" width="10" style="879" customWidth="1"/>
    <col min="12558" max="12558" width="10.42578125" style="879" bestFit="1" customWidth="1"/>
    <col min="12559" max="12559" width="13.85546875" style="879" bestFit="1" customWidth="1"/>
    <col min="12560" max="12561" width="9.140625" style="879"/>
    <col min="12562" max="12562" width="9.5703125" style="879" bestFit="1" customWidth="1"/>
    <col min="12563" max="12795" width="9.140625" style="879"/>
    <col min="12796" max="12796" width="6.140625" style="879" customWidth="1"/>
    <col min="12797" max="12797" width="41.140625" style="879" customWidth="1"/>
    <col min="12798" max="12798" width="20.5703125" style="879" customWidth="1"/>
    <col min="12799" max="12803" width="10.28515625" style="879" bestFit="1" customWidth="1"/>
    <col min="12804" max="12804" width="12.28515625" style="879" bestFit="1" customWidth="1"/>
    <col min="12805" max="12805" width="11.42578125" style="879" customWidth="1"/>
    <col min="12806" max="12809" width="10.28515625" style="879" bestFit="1" customWidth="1"/>
    <col min="12810" max="12810" width="10" style="879" bestFit="1" customWidth="1"/>
    <col min="12811" max="12812" width="9.140625" style="879"/>
    <col min="12813" max="12813" width="10" style="879" customWidth="1"/>
    <col min="12814" max="12814" width="10.42578125" style="879" bestFit="1" customWidth="1"/>
    <col min="12815" max="12815" width="13.85546875" style="879" bestFit="1" customWidth="1"/>
    <col min="12816" max="12817" width="9.140625" style="879"/>
    <col min="12818" max="12818" width="9.5703125" style="879" bestFit="1" customWidth="1"/>
    <col min="12819" max="13051" width="9.140625" style="879"/>
    <col min="13052" max="13052" width="6.140625" style="879" customWidth="1"/>
    <col min="13053" max="13053" width="41.140625" style="879" customWidth="1"/>
    <col min="13054" max="13054" width="20.5703125" style="879" customWidth="1"/>
    <col min="13055" max="13059" width="10.28515625" style="879" bestFit="1" customWidth="1"/>
    <col min="13060" max="13060" width="12.28515625" style="879" bestFit="1" customWidth="1"/>
    <col min="13061" max="13061" width="11.42578125" style="879" customWidth="1"/>
    <col min="13062" max="13065" width="10.28515625" style="879" bestFit="1" customWidth="1"/>
    <col min="13066" max="13066" width="10" style="879" bestFit="1" customWidth="1"/>
    <col min="13067" max="13068" width="9.140625" style="879"/>
    <col min="13069" max="13069" width="10" style="879" customWidth="1"/>
    <col min="13070" max="13070" width="10.42578125" style="879" bestFit="1" customWidth="1"/>
    <col min="13071" max="13071" width="13.85546875" style="879" bestFit="1" customWidth="1"/>
    <col min="13072" max="13073" width="9.140625" style="879"/>
    <col min="13074" max="13074" width="9.5703125" style="879" bestFit="1" customWidth="1"/>
    <col min="13075" max="13307" width="9.140625" style="879"/>
    <col min="13308" max="13308" width="6.140625" style="879" customWidth="1"/>
    <col min="13309" max="13309" width="41.140625" style="879" customWidth="1"/>
    <col min="13310" max="13310" width="20.5703125" style="879" customWidth="1"/>
    <col min="13311" max="13315" width="10.28515625" style="879" bestFit="1" customWidth="1"/>
    <col min="13316" max="13316" width="12.28515625" style="879" bestFit="1" customWidth="1"/>
    <col min="13317" max="13317" width="11.42578125" style="879" customWidth="1"/>
    <col min="13318" max="13321" width="10.28515625" style="879" bestFit="1" customWidth="1"/>
    <col min="13322" max="13322" width="10" style="879" bestFit="1" customWidth="1"/>
    <col min="13323" max="13324" width="9.140625" style="879"/>
    <col min="13325" max="13325" width="10" style="879" customWidth="1"/>
    <col min="13326" max="13326" width="10.42578125" style="879" bestFit="1" customWidth="1"/>
    <col min="13327" max="13327" width="13.85546875" style="879" bestFit="1" customWidth="1"/>
    <col min="13328" max="13329" width="9.140625" style="879"/>
    <col min="13330" max="13330" width="9.5703125" style="879" bestFit="1" customWidth="1"/>
    <col min="13331" max="13563" width="9.140625" style="879"/>
    <col min="13564" max="13564" width="6.140625" style="879" customWidth="1"/>
    <col min="13565" max="13565" width="41.140625" style="879" customWidth="1"/>
    <col min="13566" max="13566" width="20.5703125" style="879" customWidth="1"/>
    <col min="13567" max="13571" width="10.28515625" style="879" bestFit="1" customWidth="1"/>
    <col min="13572" max="13572" width="12.28515625" style="879" bestFit="1" customWidth="1"/>
    <col min="13573" max="13573" width="11.42578125" style="879" customWidth="1"/>
    <col min="13574" max="13577" width="10.28515625" style="879" bestFit="1" customWidth="1"/>
    <col min="13578" max="13578" width="10" style="879" bestFit="1" customWidth="1"/>
    <col min="13579" max="13580" width="9.140625" style="879"/>
    <col min="13581" max="13581" width="10" style="879" customWidth="1"/>
    <col min="13582" max="13582" width="10.42578125" style="879" bestFit="1" customWidth="1"/>
    <col min="13583" max="13583" width="13.85546875" style="879" bestFit="1" customWidth="1"/>
    <col min="13584" max="13585" width="9.140625" style="879"/>
    <col min="13586" max="13586" width="9.5703125" style="879" bestFit="1" customWidth="1"/>
    <col min="13587" max="13819" width="9.140625" style="879"/>
    <col min="13820" max="13820" width="6.140625" style="879" customWidth="1"/>
    <col min="13821" max="13821" width="41.140625" style="879" customWidth="1"/>
    <col min="13822" max="13822" width="20.5703125" style="879" customWidth="1"/>
    <col min="13823" max="13827" width="10.28515625" style="879" bestFit="1" customWidth="1"/>
    <col min="13828" max="13828" width="12.28515625" style="879" bestFit="1" customWidth="1"/>
    <col min="13829" max="13829" width="11.42578125" style="879" customWidth="1"/>
    <col min="13830" max="13833" width="10.28515625" style="879" bestFit="1" customWidth="1"/>
    <col min="13834" max="13834" width="10" style="879" bestFit="1" customWidth="1"/>
    <col min="13835" max="13836" width="9.140625" style="879"/>
    <col min="13837" max="13837" width="10" style="879" customWidth="1"/>
    <col min="13838" max="13838" width="10.42578125" style="879" bestFit="1" customWidth="1"/>
    <col min="13839" max="13839" width="13.85546875" style="879" bestFit="1" customWidth="1"/>
    <col min="13840" max="13841" width="9.140625" style="879"/>
    <col min="13842" max="13842" width="9.5703125" style="879" bestFit="1" customWidth="1"/>
    <col min="13843" max="14075" width="9.140625" style="879"/>
    <col min="14076" max="14076" width="6.140625" style="879" customWidth="1"/>
    <col min="14077" max="14077" width="41.140625" style="879" customWidth="1"/>
    <col min="14078" max="14078" width="20.5703125" style="879" customWidth="1"/>
    <col min="14079" max="14083" width="10.28515625" style="879" bestFit="1" customWidth="1"/>
    <col min="14084" max="14084" width="12.28515625" style="879" bestFit="1" customWidth="1"/>
    <col min="14085" max="14085" width="11.42578125" style="879" customWidth="1"/>
    <col min="14086" max="14089" width="10.28515625" style="879" bestFit="1" customWidth="1"/>
    <col min="14090" max="14090" width="10" style="879" bestFit="1" customWidth="1"/>
    <col min="14091" max="14092" width="9.140625" style="879"/>
    <col min="14093" max="14093" width="10" style="879" customWidth="1"/>
    <col min="14094" max="14094" width="10.42578125" style="879" bestFit="1" customWidth="1"/>
    <col min="14095" max="14095" width="13.85546875" style="879" bestFit="1" customWidth="1"/>
    <col min="14096" max="14097" width="9.140625" style="879"/>
    <col min="14098" max="14098" width="9.5703125" style="879" bestFit="1" customWidth="1"/>
    <col min="14099" max="14331" width="9.140625" style="879"/>
    <col min="14332" max="14332" width="6.140625" style="879" customWidth="1"/>
    <col min="14333" max="14333" width="41.140625" style="879" customWidth="1"/>
    <col min="14334" max="14334" width="20.5703125" style="879" customWidth="1"/>
    <col min="14335" max="14339" width="10.28515625" style="879" bestFit="1" customWidth="1"/>
    <col min="14340" max="14340" width="12.28515625" style="879" bestFit="1" customWidth="1"/>
    <col min="14341" max="14341" width="11.42578125" style="879" customWidth="1"/>
    <col min="14342" max="14345" width="10.28515625" style="879" bestFit="1" customWidth="1"/>
    <col min="14346" max="14346" width="10" style="879" bestFit="1" customWidth="1"/>
    <col min="14347" max="14348" width="9.140625" style="879"/>
    <col min="14349" max="14349" width="10" style="879" customWidth="1"/>
    <col min="14350" max="14350" width="10.42578125" style="879" bestFit="1" customWidth="1"/>
    <col min="14351" max="14351" width="13.85546875" style="879" bestFit="1" customWidth="1"/>
    <col min="14352" max="14353" width="9.140625" style="879"/>
    <col min="14354" max="14354" width="9.5703125" style="879" bestFit="1" customWidth="1"/>
    <col min="14355" max="14587" width="9.140625" style="879"/>
    <col min="14588" max="14588" width="6.140625" style="879" customWidth="1"/>
    <col min="14589" max="14589" width="41.140625" style="879" customWidth="1"/>
    <col min="14590" max="14590" width="20.5703125" style="879" customWidth="1"/>
    <col min="14591" max="14595" width="10.28515625" style="879" bestFit="1" customWidth="1"/>
    <col min="14596" max="14596" width="12.28515625" style="879" bestFit="1" customWidth="1"/>
    <col min="14597" max="14597" width="11.42578125" style="879" customWidth="1"/>
    <col min="14598" max="14601" width="10.28515625" style="879" bestFit="1" customWidth="1"/>
    <col min="14602" max="14602" width="10" style="879" bestFit="1" customWidth="1"/>
    <col min="14603" max="14604" width="9.140625" style="879"/>
    <col min="14605" max="14605" width="10" style="879" customWidth="1"/>
    <col min="14606" max="14606" width="10.42578125" style="879" bestFit="1" customWidth="1"/>
    <col min="14607" max="14607" width="13.85546875" style="879" bestFit="1" customWidth="1"/>
    <col min="14608" max="14609" width="9.140625" style="879"/>
    <col min="14610" max="14610" width="9.5703125" style="879" bestFit="1" customWidth="1"/>
    <col min="14611" max="14843" width="9.140625" style="879"/>
    <col min="14844" max="14844" width="6.140625" style="879" customWidth="1"/>
    <col min="14845" max="14845" width="41.140625" style="879" customWidth="1"/>
    <col min="14846" max="14846" width="20.5703125" style="879" customWidth="1"/>
    <col min="14847" max="14851" width="10.28515625" style="879" bestFit="1" customWidth="1"/>
    <col min="14852" max="14852" width="12.28515625" style="879" bestFit="1" customWidth="1"/>
    <col min="14853" max="14853" width="11.42578125" style="879" customWidth="1"/>
    <col min="14854" max="14857" width="10.28515625" style="879" bestFit="1" customWidth="1"/>
    <col min="14858" max="14858" width="10" style="879" bestFit="1" customWidth="1"/>
    <col min="14859" max="14860" width="9.140625" style="879"/>
    <col min="14861" max="14861" width="10" style="879" customWidth="1"/>
    <col min="14862" max="14862" width="10.42578125" style="879" bestFit="1" customWidth="1"/>
    <col min="14863" max="14863" width="13.85546875" style="879" bestFit="1" customWidth="1"/>
    <col min="14864" max="14865" width="9.140625" style="879"/>
    <col min="14866" max="14866" width="9.5703125" style="879" bestFit="1" customWidth="1"/>
    <col min="14867" max="15099" width="9.140625" style="879"/>
    <col min="15100" max="15100" width="6.140625" style="879" customWidth="1"/>
    <col min="15101" max="15101" width="41.140625" style="879" customWidth="1"/>
    <col min="15102" max="15102" width="20.5703125" style="879" customWidth="1"/>
    <col min="15103" max="15107" width="10.28515625" style="879" bestFit="1" customWidth="1"/>
    <col min="15108" max="15108" width="12.28515625" style="879" bestFit="1" customWidth="1"/>
    <col min="15109" max="15109" width="11.42578125" style="879" customWidth="1"/>
    <col min="15110" max="15113" width="10.28515625" style="879" bestFit="1" customWidth="1"/>
    <col min="15114" max="15114" width="10" style="879" bestFit="1" customWidth="1"/>
    <col min="15115" max="15116" width="9.140625" style="879"/>
    <col min="15117" max="15117" width="10" style="879" customWidth="1"/>
    <col min="15118" max="15118" width="10.42578125" style="879" bestFit="1" customWidth="1"/>
    <col min="15119" max="15119" width="13.85546875" style="879" bestFit="1" customWidth="1"/>
    <col min="15120" max="15121" width="9.140625" style="879"/>
    <col min="15122" max="15122" width="9.5703125" style="879" bestFit="1" customWidth="1"/>
    <col min="15123" max="15355" width="9.140625" style="879"/>
    <col min="15356" max="15356" width="6.140625" style="879" customWidth="1"/>
    <col min="15357" max="15357" width="41.140625" style="879" customWidth="1"/>
    <col min="15358" max="15358" width="20.5703125" style="879" customWidth="1"/>
    <col min="15359" max="15363" width="10.28515625" style="879" bestFit="1" customWidth="1"/>
    <col min="15364" max="15364" width="12.28515625" style="879" bestFit="1" customWidth="1"/>
    <col min="15365" max="15365" width="11.42578125" style="879" customWidth="1"/>
    <col min="15366" max="15369" width="10.28515625" style="879" bestFit="1" customWidth="1"/>
    <col min="15370" max="15370" width="10" style="879" bestFit="1" customWidth="1"/>
    <col min="15371" max="15372" width="9.140625" style="879"/>
    <col min="15373" max="15373" width="10" style="879" customWidth="1"/>
    <col min="15374" max="15374" width="10.42578125" style="879" bestFit="1" customWidth="1"/>
    <col min="15375" max="15375" width="13.85546875" style="879" bestFit="1" customWidth="1"/>
    <col min="15376" max="15377" width="9.140625" style="879"/>
    <col min="15378" max="15378" width="9.5703125" style="879" bestFit="1" customWidth="1"/>
    <col min="15379" max="15611" width="9.140625" style="879"/>
    <col min="15612" max="15612" width="6.140625" style="879" customWidth="1"/>
    <col min="15613" max="15613" width="41.140625" style="879" customWidth="1"/>
    <col min="15614" max="15614" width="20.5703125" style="879" customWidth="1"/>
    <col min="15615" max="15619" width="10.28515625" style="879" bestFit="1" customWidth="1"/>
    <col min="15620" max="15620" width="12.28515625" style="879" bestFit="1" customWidth="1"/>
    <col min="15621" max="15621" width="11.42578125" style="879" customWidth="1"/>
    <col min="15622" max="15625" width="10.28515625" style="879" bestFit="1" customWidth="1"/>
    <col min="15626" max="15626" width="10" style="879" bestFit="1" customWidth="1"/>
    <col min="15627" max="15628" width="9.140625" style="879"/>
    <col min="15629" max="15629" width="10" style="879" customWidth="1"/>
    <col min="15630" max="15630" width="10.42578125" style="879" bestFit="1" customWidth="1"/>
    <col min="15631" max="15631" width="13.85546875" style="879" bestFit="1" customWidth="1"/>
    <col min="15632" max="15633" width="9.140625" style="879"/>
    <col min="15634" max="15634" width="9.5703125" style="879" bestFit="1" customWidth="1"/>
    <col min="15635" max="15867" width="9.140625" style="879"/>
    <col min="15868" max="15868" width="6.140625" style="879" customWidth="1"/>
    <col min="15869" max="15869" width="41.140625" style="879" customWidth="1"/>
    <col min="15870" max="15870" width="20.5703125" style="879" customWidth="1"/>
    <col min="15871" max="15875" width="10.28515625" style="879" bestFit="1" customWidth="1"/>
    <col min="15876" max="15876" width="12.28515625" style="879" bestFit="1" customWidth="1"/>
    <col min="15877" max="15877" width="11.42578125" style="879" customWidth="1"/>
    <col min="15878" max="15881" width="10.28515625" style="879" bestFit="1" customWidth="1"/>
    <col min="15882" max="15882" width="10" style="879" bestFit="1" customWidth="1"/>
    <col min="15883" max="15884" width="9.140625" style="879"/>
    <col min="15885" max="15885" width="10" style="879" customWidth="1"/>
    <col min="15886" max="15886" width="10.42578125" style="879" bestFit="1" customWidth="1"/>
    <col min="15887" max="15887" width="13.85546875" style="879" bestFit="1" customWidth="1"/>
    <col min="15888" max="15889" width="9.140625" style="879"/>
    <col min="15890" max="15890" width="9.5703125" style="879" bestFit="1" customWidth="1"/>
    <col min="15891" max="16123" width="9.140625" style="879"/>
    <col min="16124" max="16124" width="6.140625" style="879" customWidth="1"/>
    <col min="16125" max="16125" width="41.140625" style="879" customWidth="1"/>
    <col min="16126" max="16126" width="20.5703125" style="879" customWidth="1"/>
    <col min="16127" max="16131" width="10.28515625" style="879" bestFit="1" customWidth="1"/>
    <col min="16132" max="16132" width="12.28515625" style="879" bestFit="1" customWidth="1"/>
    <col min="16133" max="16133" width="11.42578125" style="879" customWidth="1"/>
    <col min="16134" max="16137" width="10.28515625" style="879" bestFit="1" customWidth="1"/>
    <col min="16138" max="16138" width="10" style="879" bestFit="1" customWidth="1"/>
    <col min="16139" max="16140" width="9.140625" style="879"/>
    <col min="16141" max="16141" width="10" style="879" customWidth="1"/>
    <col min="16142" max="16142" width="10.42578125" style="879" bestFit="1" customWidth="1"/>
    <col min="16143" max="16143" width="13.85546875" style="879" bestFit="1" customWidth="1"/>
    <col min="16144" max="16145" width="9.140625" style="879"/>
    <col min="16146" max="16146" width="9.5703125" style="879" bestFit="1" customWidth="1"/>
    <col min="16147" max="16384" width="9.140625" style="879"/>
  </cols>
  <sheetData>
    <row r="1" spans="1:21" ht="14.25" customHeight="1" x14ac:dyDescent="0.25">
      <c r="D1" s="2069"/>
      <c r="E1" s="2069"/>
      <c r="F1" s="955"/>
      <c r="H1" s="956"/>
      <c r="I1" s="956"/>
      <c r="J1" s="957"/>
      <c r="K1" s="957"/>
      <c r="L1" s="958"/>
      <c r="M1" s="958"/>
      <c r="N1" s="959" t="s">
        <v>763</v>
      </c>
    </row>
    <row r="2" spans="1:21" ht="15.75" x14ac:dyDescent="0.25">
      <c r="A2" s="2070" t="s">
        <v>1732</v>
      </c>
      <c r="B2" s="2070"/>
      <c r="C2" s="2070"/>
      <c r="D2" s="2070"/>
      <c r="E2" s="2070"/>
      <c r="F2" s="2070"/>
      <c r="G2" s="2070"/>
      <c r="H2" s="2070"/>
      <c r="I2" s="2070"/>
      <c r="J2" s="2070"/>
      <c r="K2" s="2070"/>
      <c r="L2" s="960"/>
      <c r="M2" s="961"/>
      <c r="N2" s="962"/>
    </row>
    <row r="3" spans="1:21" ht="13.5" thickBot="1" x14ac:dyDescent="0.25">
      <c r="D3" s="963"/>
      <c r="E3" s="1048"/>
      <c r="F3" s="1048"/>
      <c r="H3" s="964"/>
      <c r="I3" s="965"/>
      <c r="J3" s="965"/>
      <c r="N3" s="963" t="s">
        <v>83</v>
      </c>
    </row>
    <row r="4" spans="1:21" ht="48.75" customHeight="1" thickBot="1" x14ac:dyDescent="0.25">
      <c r="A4" s="2071" t="s">
        <v>143</v>
      </c>
      <c r="B4" s="2072"/>
      <c r="C4" s="2073"/>
      <c r="D4" s="1053" t="s">
        <v>1195</v>
      </c>
      <c r="E4" s="1053" t="s">
        <v>1197</v>
      </c>
      <c r="F4" s="1053" t="s">
        <v>1196</v>
      </c>
      <c r="G4" s="1053" t="s">
        <v>1198</v>
      </c>
      <c r="H4" s="1053" t="s">
        <v>1199</v>
      </c>
      <c r="I4" s="1053" t="s">
        <v>1200</v>
      </c>
      <c r="J4" s="1053" t="s">
        <v>1201</v>
      </c>
      <c r="K4" s="966" t="s">
        <v>813</v>
      </c>
      <c r="L4" s="966" t="s">
        <v>814</v>
      </c>
      <c r="M4" s="966" t="s">
        <v>815</v>
      </c>
      <c r="N4" s="1049" t="s">
        <v>816</v>
      </c>
    </row>
    <row r="5" spans="1:21" ht="17.25" customHeight="1" x14ac:dyDescent="0.2">
      <c r="A5" s="2074" t="s">
        <v>1733</v>
      </c>
      <c r="B5" s="2075"/>
      <c r="C5" s="2076"/>
      <c r="D5" s="967">
        <v>2457211.35904</v>
      </c>
      <c r="E5" s="968">
        <v>2832630.9543900001</v>
      </c>
      <c r="F5" s="968">
        <v>3105783.8590000002</v>
      </c>
      <c r="G5" s="968">
        <v>2960700</v>
      </c>
      <c r="H5" s="968">
        <v>3619481.5073199999</v>
      </c>
      <c r="I5" s="968">
        <v>3419149.6344499998</v>
      </c>
      <c r="J5" s="968">
        <v>3853923.3084900002</v>
      </c>
      <c r="K5" s="968">
        <v>3348920</v>
      </c>
      <c r="L5" s="968">
        <v>3631970</v>
      </c>
      <c r="M5" s="969">
        <v>3740361.5</v>
      </c>
      <c r="N5" s="970">
        <v>3852004.7450000001</v>
      </c>
      <c r="O5" s="971"/>
    </row>
    <row r="6" spans="1:21" ht="13.5" thickBot="1" x14ac:dyDescent="0.25">
      <c r="A6" s="2077"/>
      <c r="B6" s="2078"/>
      <c r="C6" s="2079"/>
      <c r="D6" s="972"/>
      <c r="E6" s="973"/>
      <c r="F6" s="973"/>
      <c r="G6" s="974"/>
      <c r="H6" s="974"/>
      <c r="I6" s="974"/>
      <c r="J6" s="974"/>
      <c r="K6" s="974"/>
      <c r="L6" s="974"/>
      <c r="M6" s="974"/>
      <c r="N6" s="975"/>
      <c r="O6" s="971"/>
    </row>
    <row r="7" spans="1:21" ht="18" customHeight="1" x14ac:dyDescent="0.2">
      <c r="A7" s="2080" t="s">
        <v>1716</v>
      </c>
      <c r="B7" s="2081"/>
      <c r="C7" s="2082"/>
      <c r="D7" s="976">
        <f t="shared" ref="D7:N7" si="0">SUM(D9:D11)</f>
        <v>895154.41045000008</v>
      </c>
      <c r="E7" s="976">
        <f t="shared" si="0"/>
        <v>748279.41045000008</v>
      </c>
      <c r="F7" s="976">
        <f t="shared" si="0"/>
        <v>651404.41045000008</v>
      </c>
      <c r="G7" s="976">
        <f t="shared" si="0"/>
        <v>504529.41045000002</v>
      </c>
      <c r="H7" s="976">
        <f t="shared" si="0"/>
        <v>407654.41045000002</v>
      </c>
      <c r="I7" s="976">
        <f t="shared" si="0"/>
        <v>310779.41045000002</v>
      </c>
      <c r="J7" s="976">
        <f t="shared" si="0"/>
        <v>234345.91045000002</v>
      </c>
      <c r="K7" s="976">
        <f t="shared" si="0"/>
        <v>384870.87045000005</v>
      </c>
      <c r="L7" s="976">
        <f t="shared" si="0"/>
        <v>944295.87045000005</v>
      </c>
      <c r="M7" s="976">
        <f t="shared" si="0"/>
        <v>1173320.87045</v>
      </c>
      <c r="N7" s="1273">
        <f t="shared" si="0"/>
        <v>1346845.87045</v>
      </c>
      <c r="O7" s="1047"/>
      <c r="P7" s="1047"/>
      <c r="Q7" s="1047"/>
      <c r="R7" s="1047"/>
      <c r="S7" s="1047"/>
      <c r="T7" s="1047"/>
      <c r="U7" s="1047"/>
    </row>
    <row r="8" spans="1:21" x14ac:dyDescent="0.2">
      <c r="A8" s="2066" t="s">
        <v>144</v>
      </c>
      <c r="B8" s="2067"/>
      <c r="C8" s="2068"/>
      <c r="D8" s="977"/>
      <c r="E8" s="978"/>
      <c r="F8" s="978"/>
      <c r="G8" s="979"/>
      <c r="H8" s="979"/>
      <c r="I8" s="979"/>
      <c r="J8" s="979"/>
      <c r="K8" s="979"/>
      <c r="L8" s="979"/>
      <c r="M8" s="979"/>
      <c r="N8" s="980"/>
      <c r="O8" s="1047"/>
      <c r="P8" s="1047"/>
      <c r="Q8" s="1047"/>
      <c r="R8" s="1047"/>
      <c r="S8" s="1047"/>
      <c r="T8" s="1047"/>
      <c r="U8" s="1047"/>
    </row>
    <row r="9" spans="1:21" ht="17.25" customHeight="1" x14ac:dyDescent="0.2">
      <c r="A9" s="2064" t="s">
        <v>145</v>
      </c>
      <c r="B9" s="2065"/>
      <c r="C9" s="2065"/>
      <c r="D9" s="981">
        <v>515595.87045000005</v>
      </c>
      <c r="E9" s="982">
        <f t="shared" ref="E9:N9" si="1">D9-E14</f>
        <v>468720.87045000005</v>
      </c>
      <c r="F9" s="982">
        <f t="shared" si="1"/>
        <v>421845.87045000005</v>
      </c>
      <c r="G9" s="983">
        <f t="shared" si="1"/>
        <v>374970.87045000005</v>
      </c>
      <c r="H9" s="983">
        <f t="shared" si="1"/>
        <v>328095.87045000005</v>
      </c>
      <c r="I9" s="983">
        <f t="shared" si="1"/>
        <v>281220.87045000005</v>
      </c>
      <c r="J9" s="983">
        <f t="shared" si="1"/>
        <v>234345.87045000005</v>
      </c>
      <c r="K9" s="983">
        <f t="shared" si="1"/>
        <v>187470.87045000005</v>
      </c>
      <c r="L9" s="983">
        <f t="shared" si="1"/>
        <v>140595.87045000005</v>
      </c>
      <c r="M9" s="983">
        <f t="shared" si="1"/>
        <v>93720.870450000046</v>
      </c>
      <c r="N9" s="992">
        <f t="shared" si="1"/>
        <v>46845.870450000046</v>
      </c>
      <c r="O9" s="1047"/>
      <c r="P9" s="1047"/>
      <c r="Q9" s="1047"/>
      <c r="R9" s="1047"/>
      <c r="S9" s="1047"/>
      <c r="T9" s="1047"/>
      <c r="U9" s="1047"/>
    </row>
    <row r="10" spans="1:21" ht="17.25" customHeight="1" x14ac:dyDescent="0.2">
      <c r="A10" s="2064" t="s">
        <v>1109</v>
      </c>
      <c r="B10" s="2065"/>
      <c r="C10" s="2065"/>
      <c r="D10" s="985">
        <v>379558.54</v>
      </c>
      <c r="E10" s="986">
        <f t="shared" ref="E10:J10" si="2">D10-E15</f>
        <v>279558.53999999998</v>
      </c>
      <c r="F10" s="986">
        <f t="shared" si="2"/>
        <v>229558.53999999998</v>
      </c>
      <c r="G10" s="986">
        <f t="shared" si="2"/>
        <v>129558.53999999998</v>
      </c>
      <c r="H10" s="986">
        <f t="shared" si="2"/>
        <v>79558.539999999979</v>
      </c>
      <c r="I10" s="986">
        <f t="shared" si="2"/>
        <v>29558.539999999979</v>
      </c>
      <c r="J10" s="986">
        <f t="shared" si="2"/>
        <v>3.9999999979045242E-2</v>
      </c>
      <c r="K10" s="986">
        <v>0</v>
      </c>
      <c r="L10" s="986"/>
      <c r="M10" s="987"/>
      <c r="N10" s="988"/>
      <c r="O10" s="1047"/>
      <c r="P10" s="1047"/>
      <c r="Q10" s="1047"/>
      <c r="R10" s="1047"/>
      <c r="S10" s="1047"/>
      <c r="T10" s="1047"/>
      <c r="U10" s="1047"/>
    </row>
    <row r="11" spans="1:21" ht="17.25" customHeight="1" thickBot="1" x14ac:dyDescent="0.25">
      <c r="A11" s="2083" t="s">
        <v>821</v>
      </c>
      <c r="B11" s="2084"/>
      <c r="C11" s="2084"/>
      <c r="D11" s="1278"/>
      <c r="E11" s="1278"/>
      <c r="F11" s="1278"/>
      <c r="G11" s="1278"/>
      <c r="H11" s="1278"/>
      <c r="I11" s="1278"/>
      <c r="J11" s="1279" t="s">
        <v>1110</v>
      </c>
      <c r="K11" s="1280">
        <v>197400</v>
      </c>
      <c r="L11" s="1280">
        <f>K11+606300</f>
        <v>803700</v>
      </c>
      <c r="M11" s="1280">
        <f>L11+275900</f>
        <v>1079600</v>
      </c>
      <c r="N11" s="1281">
        <f>M11+220400</f>
        <v>1300000</v>
      </c>
      <c r="O11" s="1047"/>
      <c r="P11" s="1047"/>
      <c r="Q11" s="1047"/>
      <c r="R11" s="1047"/>
      <c r="S11" s="1047"/>
      <c r="T11" s="1047"/>
      <c r="U11" s="1047"/>
    </row>
    <row r="12" spans="1:21" ht="17.25" customHeight="1" x14ac:dyDescent="0.2">
      <c r="A12" s="2089" t="s">
        <v>146</v>
      </c>
      <c r="B12" s="2090"/>
      <c r="C12" s="2090"/>
      <c r="D12" s="993">
        <f t="shared" ref="D12:N12" si="3">SUM(D14:D16)</f>
        <v>96875</v>
      </c>
      <c r="E12" s="994">
        <f t="shared" si="3"/>
        <v>146875</v>
      </c>
      <c r="F12" s="994">
        <f t="shared" si="3"/>
        <v>96875</v>
      </c>
      <c r="G12" s="994">
        <f t="shared" si="3"/>
        <v>146875</v>
      </c>
      <c r="H12" s="994">
        <f t="shared" si="3"/>
        <v>96875</v>
      </c>
      <c r="I12" s="994">
        <f t="shared" si="3"/>
        <v>96875</v>
      </c>
      <c r="J12" s="994">
        <f t="shared" si="3"/>
        <v>76433.5</v>
      </c>
      <c r="K12" s="994">
        <f t="shared" si="3"/>
        <v>46875</v>
      </c>
      <c r="L12" s="994">
        <f t="shared" si="3"/>
        <v>46875</v>
      </c>
      <c r="M12" s="994">
        <f t="shared" si="3"/>
        <v>46875</v>
      </c>
      <c r="N12" s="1054">
        <f t="shared" si="3"/>
        <v>46875</v>
      </c>
      <c r="O12" s="1047"/>
      <c r="P12" s="1047"/>
      <c r="Q12" s="1047"/>
      <c r="R12" s="1047"/>
      <c r="S12" s="1047"/>
      <c r="T12" s="1047"/>
      <c r="U12" s="1047"/>
    </row>
    <row r="13" spans="1:21" x14ac:dyDescent="0.2">
      <c r="A13" s="2091" t="s">
        <v>144</v>
      </c>
      <c r="B13" s="2092"/>
      <c r="C13" s="2092"/>
      <c r="D13" s="977"/>
      <c r="E13" s="978"/>
      <c r="F13" s="978"/>
      <c r="G13" s="995"/>
      <c r="H13" s="995"/>
      <c r="I13" s="995"/>
      <c r="J13" s="995"/>
      <c r="K13" s="995"/>
      <c r="L13" s="995"/>
      <c r="M13" s="995"/>
      <c r="N13" s="996"/>
      <c r="O13" s="1047"/>
      <c r="P13" s="1047"/>
      <c r="Q13" s="1047"/>
      <c r="R13" s="1047"/>
      <c r="S13" s="1047"/>
      <c r="T13" s="1047"/>
      <c r="U13" s="1047"/>
    </row>
    <row r="14" spans="1:21" ht="17.25" customHeight="1" x14ac:dyDescent="0.2">
      <c r="A14" s="2064" t="s">
        <v>147</v>
      </c>
      <c r="B14" s="2065"/>
      <c r="C14" s="2065"/>
      <c r="D14" s="984">
        <v>46875</v>
      </c>
      <c r="E14" s="984">
        <v>46875</v>
      </c>
      <c r="F14" s="984">
        <v>46875</v>
      </c>
      <c r="G14" s="984">
        <v>46875</v>
      </c>
      <c r="H14" s="984">
        <v>46875</v>
      </c>
      <c r="I14" s="983">
        <v>46875</v>
      </c>
      <c r="J14" s="983">
        <v>46875</v>
      </c>
      <c r="K14" s="984">
        <v>46875</v>
      </c>
      <c r="L14" s="984">
        <v>46875</v>
      </c>
      <c r="M14" s="984">
        <v>46875</v>
      </c>
      <c r="N14" s="991">
        <v>46875</v>
      </c>
      <c r="O14" s="1050"/>
      <c r="P14" s="1047"/>
      <c r="Q14" s="1047"/>
      <c r="R14" s="1051"/>
      <c r="S14" s="1047"/>
      <c r="T14" s="1047"/>
      <c r="U14" s="1047"/>
    </row>
    <row r="15" spans="1:21" ht="17.25" customHeight="1" x14ac:dyDescent="0.2">
      <c r="A15" s="2085" t="s">
        <v>1111</v>
      </c>
      <c r="B15" s="2086"/>
      <c r="C15" s="2086"/>
      <c r="D15" s="1221">
        <v>50000</v>
      </c>
      <c r="E15" s="1221">
        <f>50000+50000</f>
        <v>100000</v>
      </c>
      <c r="F15" s="1221">
        <v>50000</v>
      </c>
      <c r="G15" s="984">
        <f>50000+50000</f>
        <v>100000</v>
      </c>
      <c r="H15" s="984">
        <v>50000</v>
      </c>
      <c r="I15" s="984">
        <v>50000</v>
      </c>
      <c r="J15" s="984">
        <v>29558.5</v>
      </c>
      <c r="K15" s="984">
        <v>0</v>
      </c>
      <c r="L15" s="984"/>
      <c r="M15" s="984"/>
      <c r="N15" s="991"/>
      <c r="O15" s="1052"/>
      <c r="P15" s="1047"/>
      <c r="Q15" s="1047"/>
      <c r="R15" s="1051"/>
      <c r="S15" s="1047"/>
      <c r="T15" s="1047"/>
      <c r="U15" s="1047"/>
    </row>
    <row r="16" spans="1:21" ht="17.25" customHeight="1" thickBot="1" x14ac:dyDescent="0.25">
      <c r="A16" s="2093" t="s">
        <v>822</v>
      </c>
      <c r="B16" s="2094"/>
      <c r="C16" s="2094"/>
      <c r="D16" s="1282"/>
      <c r="E16" s="1282"/>
      <c r="F16" s="1282"/>
      <c r="G16" s="1282"/>
      <c r="H16" s="1282"/>
      <c r="I16" s="1282"/>
      <c r="J16" s="1283"/>
      <c r="K16" s="1280"/>
      <c r="L16" s="1280"/>
      <c r="M16" s="1280"/>
      <c r="N16" s="1284"/>
      <c r="O16" s="1052"/>
      <c r="P16" s="1047"/>
      <c r="Q16" s="1047"/>
      <c r="R16" s="1051"/>
      <c r="S16" s="1047"/>
      <c r="T16" s="1047"/>
      <c r="U16" s="1047"/>
    </row>
    <row r="17" spans="1:21" ht="17.25" customHeight="1" x14ac:dyDescent="0.2">
      <c r="A17" s="2095" t="s">
        <v>1715</v>
      </c>
      <c r="B17" s="2096"/>
      <c r="C17" s="2097"/>
      <c r="D17" s="999">
        <f t="shared" ref="D17:N17" si="4">SUM(D19:D21)</f>
        <v>12469.70131</v>
      </c>
      <c r="E17" s="999">
        <f t="shared" si="4"/>
        <v>11208.22674</v>
      </c>
      <c r="F17" s="999">
        <f t="shared" si="4"/>
        <v>9990.1668499999996</v>
      </c>
      <c r="G17" s="999">
        <f t="shared" si="4"/>
        <v>5356.4194299999999</v>
      </c>
      <c r="H17" s="999">
        <f t="shared" si="4"/>
        <v>8530.6460900000002</v>
      </c>
      <c r="I17" s="999">
        <f t="shared" si="4"/>
        <v>7068.8052499999994</v>
      </c>
      <c r="J17" s="999">
        <f t="shared" si="4"/>
        <v>1620.00216</v>
      </c>
      <c r="K17" s="999">
        <f t="shared" si="4"/>
        <v>8400</v>
      </c>
      <c r="L17" s="999">
        <f t="shared" si="4"/>
        <v>17200</v>
      </c>
      <c r="M17" s="999">
        <f t="shared" si="4"/>
        <v>27050</v>
      </c>
      <c r="N17" s="1000">
        <f t="shared" si="4"/>
        <v>32062.5</v>
      </c>
      <c r="O17" s="1052"/>
      <c r="P17" s="1047"/>
      <c r="Q17" s="1047"/>
      <c r="R17" s="1051"/>
      <c r="S17" s="1050"/>
      <c r="T17" s="1047"/>
      <c r="U17" s="1047"/>
    </row>
    <row r="18" spans="1:21" x14ac:dyDescent="0.2">
      <c r="A18" s="2091" t="s">
        <v>144</v>
      </c>
      <c r="B18" s="2092"/>
      <c r="C18" s="2092"/>
      <c r="D18" s="977"/>
      <c r="E18" s="978"/>
      <c r="F18" s="978"/>
      <c r="G18" s="995"/>
      <c r="H18" s="995"/>
      <c r="I18" s="995"/>
      <c r="J18" s="995"/>
      <c r="K18" s="995"/>
      <c r="L18" s="995"/>
      <c r="M18" s="995"/>
      <c r="N18" s="996"/>
      <c r="O18" s="1052"/>
      <c r="P18" s="1047"/>
      <c r="Q18" s="1047"/>
      <c r="R18" s="1051"/>
      <c r="S18" s="1047"/>
      <c r="T18" s="1047"/>
      <c r="U18" s="1047"/>
    </row>
    <row r="19" spans="1:21" ht="17.25" customHeight="1" x14ac:dyDescent="0.2">
      <c r="A19" s="2064" t="s">
        <v>1718</v>
      </c>
      <c r="B19" s="2065"/>
      <c r="C19" s="2065"/>
      <c r="D19" s="984">
        <v>9952.2489000000005</v>
      </c>
      <c r="E19" s="984">
        <v>9227.9086399999997</v>
      </c>
      <c r="F19" s="984">
        <v>8362.1835499999997</v>
      </c>
      <c r="G19" s="1001">
        <v>2553.3980900000001</v>
      </c>
      <c r="H19" s="1001">
        <v>5895.7748600000004</v>
      </c>
      <c r="I19" s="1001">
        <v>6192.2352199999996</v>
      </c>
      <c r="J19" s="1001">
        <v>1532.9290900000001</v>
      </c>
      <c r="K19" s="1001">
        <v>5900</v>
      </c>
      <c r="L19" s="1001">
        <v>4700</v>
      </c>
      <c r="M19" s="1001">
        <v>3600</v>
      </c>
      <c r="N19" s="1002">
        <v>2400</v>
      </c>
      <c r="O19" s="1052"/>
      <c r="P19" s="1047"/>
      <c r="Q19" s="1047"/>
      <c r="R19" s="1047"/>
      <c r="S19" s="1047"/>
      <c r="T19" s="1047"/>
      <c r="U19" s="1047"/>
    </row>
    <row r="20" spans="1:21" ht="17.25" customHeight="1" x14ac:dyDescent="0.2">
      <c r="A20" s="2064" t="s">
        <v>1717</v>
      </c>
      <c r="B20" s="2065"/>
      <c r="C20" s="2065"/>
      <c r="D20" s="984">
        <v>2517.4524099999999</v>
      </c>
      <c r="E20" s="984">
        <v>1980.3181</v>
      </c>
      <c r="F20" s="984">
        <v>1627.9833000000001</v>
      </c>
      <c r="G20" s="1001">
        <v>2803.0213399999998</v>
      </c>
      <c r="H20" s="1001">
        <v>2634.8712300000002</v>
      </c>
      <c r="I20" s="1001">
        <v>876.57002999999997</v>
      </c>
      <c r="J20" s="1001">
        <v>87.073070000000001</v>
      </c>
      <c r="K20" s="1001">
        <v>0</v>
      </c>
      <c r="L20" s="1003"/>
      <c r="M20" s="1003"/>
      <c r="N20" s="1002"/>
      <c r="O20" s="1047"/>
      <c r="P20" s="1047"/>
      <c r="Q20" s="1047"/>
      <c r="R20" s="1047"/>
      <c r="S20" s="1047"/>
      <c r="T20" s="1047"/>
      <c r="U20" s="1047"/>
    </row>
    <row r="21" spans="1:21" ht="17.25" customHeight="1" thickBot="1" x14ac:dyDescent="0.25">
      <c r="A21" s="2087" t="s">
        <v>1112</v>
      </c>
      <c r="B21" s="2088"/>
      <c r="C21" s="2088"/>
      <c r="D21" s="1274"/>
      <c r="E21" s="1274"/>
      <c r="F21" s="1274"/>
      <c r="G21" s="1275"/>
      <c r="H21" s="1275"/>
      <c r="I21" s="1275"/>
      <c r="J21" s="1276"/>
      <c r="K21" s="1276">
        <v>2500</v>
      </c>
      <c r="L21" s="1276">
        <v>12500</v>
      </c>
      <c r="M21" s="1276">
        <v>23450</v>
      </c>
      <c r="N21" s="1277">
        <v>29662.5</v>
      </c>
      <c r="O21" s="997"/>
    </row>
    <row r="23" spans="1:21" x14ac:dyDescent="0.2">
      <c r="C23" s="887"/>
      <c r="D23" s="1004"/>
      <c r="E23" s="1005"/>
      <c r="F23" s="1006"/>
      <c r="G23" s="1007"/>
      <c r="H23" s="1007"/>
      <c r="I23" s="1007"/>
      <c r="J23" s="1007"/>
      <c r="K23" s="1008"/>
      <c r="L23" s="1008"/>
      <c r="M23" s="1008"/>
      <c r="N23" s="1008"/>
    </row>
    <row r="24" spans="1:21" x14ac:dyDescent="0.2">
      <c r="B24" s="1008" t="s">
        <v>1719</v>
      </c>
      <c r="C24" s="1008"/>
      <c r="D24" s="1009"/>
      <c r="K24" s="836"/>
      <c r="L24" s="836"/>
      <c r="M24" s="836"/>
      <c r="N24" s="836"/>
    </row>
    <row r="25" spans="1:21" s="1011" customFormat="1" x14ac:dyDescent="0.2">
      <c r="B25" s="1010"/>
      <c r="C25" s="837"/>
      <c r="J25" s="1012"/>
      <c r="K25" s="1013"/>
      <c r="L25" s="1014"/>
    </row>
    <row r="26" spans="1:21" x14ac:dyDescent="0.2">
      <c r="B26" s="1008" t="s">
        <v>817</v>
      </c>
      <c r="C26" s="887"/>
      <c r="D26" s="887"/>
    </row>
    <row r="27" spans="1:21" x14ac:dyDescent="0.2">
      <c r="B27" s="879" t="s">
        <v>1202</v>
      </c>
    </row>
  </sheetData>
  <mergeCells count="20">
    <mergeCell ref="A10:C10"/>
    <mergeCell ref="A11:C11"/>
    <mergeCell ref="A15:C15"/>
    <mergeCell ref="A14:C14"/>
    <mergeCell ref="A21:C21"/>
    <mergeCell ref="A12:C12"/>
    <mergeCell ref="A13:C13"/>
    <mergeCell ref="A16:C16"/>
    <mergeCell ref="A19:C19"/>
    <mergeCell ref="A20:C20"/>
    <mergeCell ref="A17:C17"/>
    <mergeCell ref="A18:C18"/>
    <mergeCell ref="A9:C9"/>
    <mergeCell ref="A8:C8"/>
    <mergeCell ref="D1:E1"/>
    <mergeCell ref="A2:K2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8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56E7-ACFE-48D7-8BD7-E79D750E3712}">
  <sheetPr>
    <tabColor theme="6" tint="0.59999389629810485"/>
    <pageSetUpPr fitToPage="1"/>
  </sheetPr>
  <dimension ref="A1:L25"/>
  <sheetViews>
    <sheetView workbookViewId="0">
      <selection activeCell="I24" sqref="I24"/>
    </sheetView>
  </sheetViews>
  <sheetFormatPr defaultRowHeight="15" x14ac:dyDescent="0.25"/>
  <cols>
    <col min="1" max="1" width="31.7109375" style="1015" customWidth="1"/>
    <col min="2" max="2" width="6" style="1015" bestFit="1" customWidth="1"/>
    <col min="3" max="4" width="16.7109375" style="1015" customWidth="1"/>
    <col min="5" max="5" width="15" style="1015" customWidth="1"/>
    <col min="6" max="6" width="14.7109375" style="1015" customWidth="1"/>
    <col min="7" max="7" width="9.140625" style="1015" customWidth="1"/>
    <col min="8" max="8" width="15" style="1015" bestFit="1" customWidth="1"/>
    <col min="9" max="9" width="21.140625" style="1015" customWidth="1"/>
    <col min="10" max="10" width="11.85546875" style="1015" customWidth="1"/>
    <col min="11" max="11" width="10" style="1015" bestFit="1" customWidth="1"/>
    <col min="12" max="12" width="11.42578125" style="1015" bestFit="1" customWidth="1"/>
    <col min="13" max="16384" width="9.140625" style="1015"/>
  </cols>
  <sheetData>
    <row r="1" spans="1:12" x14ac:dyDescent="0.25">
      <c r="A1"/>
      <c r="B1"/>
      <c r="F1" s="1055" t="s">
        <v>1206</v>
      </c>
    </row>
    <row r="2" spans="1:12" x14ac:dyDescent="0.25">
      <c r="A2" s="469"/>
      <c r="B2" s="469"/>
      <c r="C2" s="1055"/>
    </row>
    <row r="3" spans="1:12" ht="18.75" customHeight="1" x14ac:dyDescent="0.25">
      <c r="A3" s="2102" t="s">
        <v>1207</v>
      </c>
      <c r="B3" s="2102"/>
      <c r="C3" s="2102"/>
      <c r="D3" s="2102"/>
      <c r="E3" s="2102"/>
      <c r="F3" s="2102"/>
    </row>
    <row r="4" spans="1:12" ht="15.75" thickBot="1" x14ac:dyDescent="0.3"/>
    <row r="5" spans="1:12" s="1020" customFormat="1" ht="26.25" thickBot="1" x14ac:dyDescent="0.3">
      <c r="A5" s="1016" t="s">
        <v>1113</v>
      </c>
      <c r="B5" s="1017" t="s">
        <v>1114</v>
      </c>
      <c r="C5" s="1018" t="s">
        <v>1115</v>
      </c>
      <c r="D5" s="1018" t="s">
        <v>1116</v>
      </c>
      <c r="E5" s="1018" t="s">
        <v>1117</v>
      </c>
      <c r="F5" s="1019" t="s">
        <v>1118</v>
      </c>
      <c r="H5" s="1021"/>
    </row>
    <row r="6" spans="1:12" x14ac:dyDescent="0.25">
      <c r="A6" s="1022" t="s">
        <v>1119</v>
      </c>
      <c r="B6" s="1023">
        <v>72.108999999999995</v>
      </c>
      <c r="C6" s="1201">
        <v>758368939</v>
      </c>
      <c r="D6" s="1201">
        <v>840003080</v>
      </c>
      <c r="E6" s="1202">
        <v>814363953</v>
      </c>
      <c r="F6" s="1203">
        <v>25639127</v>
      </c>
      <c r="G6" s="1024"/>
    </row>
    <row r="7" spans="1:12" ht="25.5" x14ac:dyDescent="0.25">
      <c r="A7" s="1025" t="s">
        <v>1120</v>
      </c>
      <c r="B7" s="1026">
        <v>100</v>
      </c>
      <c r="C7" s="1205" t="s">
        <v>1702</v>
      </c>
      <c r="D7" s="1205">
        <v>333737174</v>
      </c>
      <c r="E7" s="1206">
        <v>331737174</v>
      </c>
      <c r="F7" s="1207">
        <v>2000000</v>
      </c>
      <c r="G7" s="1024"/>
    </row>
    <row r="8" spans="1:12" x14ac:dyDescent="0.25">
      <c r="A8" s="1025" t="s">
        <v>1121</v>
      </c>
      <c r="B8" s="1026">
        <v>100</v>
      </c>
      <c r="C8" s="1204" t="s">
        <v>1122</v>
      </c>
      <c r="D8" s="1205">
        <v>414109706.44999999</v>
      </c>
      <c r="E8" s="1206">
        <v>407109706.44999999</v>
      </c>
      <c r="F8" s="1207">
        <v>7000000</v>
      </c>
      <c r="G8" s="1024"/>
    </row>
    <row r="9" spans="1:12" ht="25.5" x14ac:dyDescent="0.25">
      <c r="A9" s="1025" t="s">
        <v>1123</v>
      </c>
      <c r="B9" s="1026">
        <v>100</v>
      </c>
      <c r="C9" s="1205">
        <v>7928267.71</v>
      </c>
      <c r="D9" s="1205">
        <v>7928267.71</v>
      </c>
      <c r="E9" s="1206">
        <v>7928267.71</v>
      </c>
      <c r="F9" s="1222" t="s">
        <v>75</v>
      </c>
      <c r="G9" s="1024"/>
      <c r="H9" s="1027"/>
      <c r="I9" s="1027"/>
      <c r="J9" s="1028"/>
      <c r="K9" s="1027"/>
    </row>
    <row r="10" spans="1:12" x14ac:dyDescent="0.25">
      <c r="A10" s="1025" t="s">
        <v>1124</v>
      </c>
      <c r="B10" s="1026">
        <v>100</v>
      </c>
      <c r="C10" s="1208">
        <v>500000</v>
      </c>
      <c r="D10" s="1208">
        <v>500000</v>
      </c>
      <c r="E10" s="1029" t="s">
        <v>75</v>
      </c>
      <c r="F10" s="1209">
        <v>500000</v>
      </c>
      <c r="G10" s="1024"/>
    </row>
    <row r="11" spans="1:12" ht="25.5" x14ac:dyDescent="0.25">
      <c r="A11" s="1025" t="s">
        <v>1208</v>
      </c>
      <c r="B11" s="1026">
        <v>100</v>
      </c>
      <c r="C11" s="1210" t="s">
        <v>1125</v>
      </c>
      <c r="D11" s="1208">
        <v>100000</v>
      </c>
      <c r="E11" s="1029" t="s">
        <v>75</v>
      </c>
      <c r="F11" s="1209">
        <v>100000</v>
      </c>
      <c r="G11" s="1024"/>
      <c r="L11" s="1030"/>
    </row>
    <row r="12" spans="1:12" x14ac:dyDescent="0.25">
      <c r="A12" s="1025" t="s">
        <v>1126</v>
      </c>
      <c r="B12" s="1026">
        <v>100</v>
      </c>
      <c r="C12" s="1034" t="s">
        <v>75</v>
      </c>
      <c r="D12" s="1205">
        <v>44001000</v>
      </c>
      <c r="E12" s="1032" t="s">
        <v>75</v>
      </c>
      <c r="F12" s="1207">
        <v>44001000</v>
      </c>
      <c r="G12" s="1024"/>
    </row>
    <row r="13" spans="1:12" s="1020" customFormat="1" ht="25.5" x14ac:dyDescent="0.25">
      <c r="A13" s="1033" t="s">
        <v>1127</v>
      </c>
      <c r="B13" s="1034" t="s">
        <v>75</v>
      </c>
      <c r="C13" s="1034" t="s">
        <v>75</v>
      </c>
      <c r="D13" s="1205">
        <v>286111108</v>
      </c>
      <c r="E13" s="1032" t="s">
        <v>75</v>
      </c>
      <c r="F13" s="1207">
        <v>286111108</v>
      </c>
      <c r="G13" s="1035"/>
    </row>
    <row r="14" spans="1:12" ht="25.5" x14ac:dyDescent="0.25">
      <c r="A14" s="1033" t="s">
        <v>1128</v>
      </c>
      <c r="B14" s="1034" t="s">
        <v>75</v>
      </c>
      <c r="C14" s="1034" t="s">
        <v>75</v>
      </c>
      <c r="D14" s="1205">
        <v>207000000</v>
      </c>
      <c r="E14" s="1032" t="s">
        <v>75</v>
      </c>
      <c r="F14" s="1207">
        <v>207000000</v>
      </c>
      <c r="G14" s="1024"/>
    </row>
    <row r="15" spans="1:12" s="1020" customFormat="1" ht="25.5" x14ac:dyDescent="0.25">
      <c r="A15" s="1033" t="s">
        <v>1129</v>
      </c>
      <c r="B15" s="1034" t="s">
        <v>75</v>
      </c>
      <c r="C15" s="1034" t="s">
        <v>75</v>
      </c>
      <c r="D15" s="1205">
        <v>500000</v>
      </c>
      <c r="E15" s="1032" t="s">
        <v>75</v>
      </c>
      <c r="F15" s="1207">
        <v>500000</v>
      </c>
      <c r="G15" s="1035"/>
    </row>
    <row r="16" spans="1:12" ht="26.25" thickBot="1" x14ac:dyDescent="0.3">
      <c r="A16" s="1036" t="s">
        <v>1130</v>
      </c>
      <c r="B16" s="1037" t="s">
        <v>75</v>
      </c>
      <c r="C16" s="1037" t="s">
        <v>75</v>
      </c>
      <c r="D16" s="1211">
        <v>127400000</v>
      </c>
      <c r="E16" s="1039" t="s">
        <v>75</v>
      </c>
      <c r="F16" s="1212">
        <v>127400000</v>
      </c>
      <c r="G16" s="1024"/>
    </row>
    <row r="17" spans="1:9" s="1021" customFormat="1" ht="29.25" customHeight="1" thickBot="1" x14ac:dyDescent="0.3">
      <c r="A17" s="2098" t="s">
        <v>1131</v>
      </c>
      <c r="B17" s="2099"/>
      <c r="C17" s="1017" t="s">
        <v>75</v>
      </c>
      <c r="D17" s="1213">
        <f>SUM(D6:D16)</f>
        <v>2261390336.1599998</v>
      </c>
      <c r="E17" s="1214">
        <f t="shared" ref="E17" si="0">SUM(E6:E16)</f>
        <v>1561139101.1600001</v>
      </c>
      <c r="F17" s="1215">
        <f>SUM(F6:F16)</f>
        <v>700251235</v>
      </c>
      <c r="G17" s="1040"/>
      <c r="H17" s="1041"/>
    </row>
    <row r="18" spans="1:9" ht="25.5" x14ac:dyDescent="0.25">
      <c r="A18" s="1022" t="s">
        <v>1132</v>
      </c>
      <c r="B18" s="1023" t="s">
        <v>75</v>
      </c>
      <c r="C18" s="1216">
        <v>20000</v>
      </c>
      <c r="D18" s="1216">
        <v>17940</v>
      </c>
      <c r="E18" s="1042" t="s">
        <v>75</v>
      </c>
      <c r="F18" s="1218" t="s">
        <v>75</v>
      </c>
      <c r="G18" s="1024"/>
      <c r="H18" s="1021"/>
    </row>
    <row r="19" spans="1:9" ht="25.5" x14ac:dyDescent="0.25">
      <c r="A19" s="1025" t="s">
        <v>1133</v>
      </c>
      <c r="B19" s="1026" t="s">
        <v>75</v>
      </c>
      <c r="C19" s="1208">
        <v>1664100</v>
      </c>
      <c r="D19" s="1208">
        <v>1664100</v>
      </c>
      <c r="E19" s="1032" t="s">
        <v>75</v>
      </c>
      <c r="F19" s="1219" t="s">
        <v>75</v>
      </c>
      <c r="G19" s="1024"/>
    </row>
    <row r="20" spans="1:9" ht="38.25" x14ac:dyDescent="0.25">
      <c r="A20" s="1025" t="s">
        <v>1134</v>
      </c>
      <c r="B20" s="1026" t="s">
        <v>75</v>
      </c>
      <c r="C20" s="1208">
        <v>1089200</v>
      </c>
      <c r="D20" s="1208">
        <v>1089200</v>
      </c>
      <c r="E20" s="1032" t="s">
        <v>75</v>
      </c>
      <c r="F20" s="1219" t="s">
        <v>75</v>
      </c>
      <c r="G20" s="1024"/>
      <c r="I20" s="1030"/>
    </row>
    <row r="21" spans="1:9" ht="25.5" x14ac:dyDescent="0.25">
      <c r="A21" s="1025" t="s">
        <v>1135</v>
      </c>
      <c r="B21" s="1034" t="s">
        <v>75</v>
      </c>
      <c r="C21" s="1208">
        <v>6870122</v>
      </c>
      <c r="D21" s="1208">
        <v>6870122</v>
      </c>
      <c r="E21" s="1032" t="s">
        <v>75</v>
      </c>
      <c r="F21" s="1219" t="s">
        <v>75</v>
      </c>
      <c r="G21" s="1024"/>
    </row>
    <row r="22" spans="1:9" ht="38.25" x14ac:dyDescent="0.25">
      <c r="A22" s="1043" t="s">
        <v>1136</v>
      </c>
      <c r="B22" s="1031">
        <v>16.75</v>
      </c>
      <c r="C22" s="1208">
        <v>151847544</v>
      </c>
      <c r="D22" s="1208">
        <v>151847544</v>
      </c>
      <c r="E22" s="1032" t="s">
        <v>75</v>
      </c>
      <c r="F22" s="1219" t="s">
        <v>75</v>
      </c>
      <c r="G22" s="1024"/>
    </row>
    <row r="23" spans="1:9" ht="26.25" thickBot="1" x14ac:dyDescent="0.3">
      <c r="A23" s="1036" t="s">
        <v>1137</v>
      </c>
      <c r="B23" s="1038" t="s">
        <v>75</v>
      </c>
      <c r="C23" s="1217">
        <v>4120702.26</v>
      </c>
      <c r="D23" s="1217">
        <v>4120702.26</v>
      </c>
      <c r="E23" s="1039" t="s">
        <v>75</v>
      </c>
      <c r="F23" s="1220" t="s">
        <v>75</v>
      </c>
      <c r="G23" s="1024"/>
    </row>
    <row r="24" spans="1:9" ht="18.75" customHeight="1" thickBot="1" x14ac:dyDescent="0.3">
      <c r="A24" s="2100" t="s">
        <v>1138</v>
      </c>
      <c r="B24" s="2101"/>
      <c r="C24" s="1017" t="s">
        <v>75</v>
      </c>
      <c r="D24" s="1213">
        <f>SUM(D18:D23)</f>
        <v>165609608.25999999</v>
      </c>
      <c r="E24" s="1017" t="s">
        <v>75</v>
      </c>
      <c r="F24" s="1019" t="s">
        <v>75</v>
      </c>
      <c r="G24" s="1024"/>
    </row>
    <row r="25" spans="1:9" x14ac:dyDescent="0.25">
      <c r="A25" s="1024"/>
      <c r="B25" s="1024"/>
      <c r="C25" s="1024"/>
      <c r="D25" s="1024"/>
      <c r="E25" s="1024"/>
      <c r="F25" s="1024"/>
      <c r="G25" s="1024"/>
    </row>
  </sheetData>
  <mergeCells count="3">
    <mergeCell ref="A17:B17"/>
    <mergeCell ref="A24:B24"/>
    <mergeCell ref="A3:F3"/>
  </mergeCells>
  <pageMargins left="0.7" right="0.7" top="0.78740157499999996" bottom="0.78740157499999996" header="0.3" footer="0.3"/>
  <pageSetup paperSize="9" scale="8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4702-FF0F-46B4-94AC-AC21909D8664}">
  <sheetPr>
    <tabColor theme="6" tint="0.59999389629810485"/>
  </sheetPr>
  <dimension ref="A1:IW78"/>
  <sheetViews>
    <sheetView workbookViewId="0">
      <selection activeCell="H28" sqref="H28"/>
    </sheetView>
  </sheetViews>
  <sheetFormatPr defaultRowHeight="12.75" x14ac:dyDescent="0.2"/>
  <cols>
    <col min="1" max="1" width="3" customWidth="1"/>
    <col min="2" max="2" width="73.28515625" customWidth="1"/>
    <col min="3" max="3" width="13.28515625" style="1270" customWidth="1"/>
    <col min="4" max="4" width="7.42578125" style="8" customWidth="1"/>
    <col min="5" max="5" width="9.140625" style="8"/>
    <col min="6" max="6" width="14.85546875" style="8" bestFit="1" customWidth="1"/>
    <col min="7" max="7" width="13.140625" style="8" bestFit="1" customWidth="1"/>
    <col min="8" max="8" width="33.28515625" style="8" bestFit="1" customWidth="1"/>
    <col min="9" max="9" width="17" style="8" bestFit="1" customWidth="1"/>
    <col min="10" max="10" width="13.140625" style="8" bestFit="1" customWidth="1"/>
    <col min="11" max="23" width="9.140625" style="8"/>
  </cols>
  <sheetData>
    <row r="1" spans="1:23" x14ac:dyDescent="0.2">
      <c r="C1" s="1247" t="s">
        <v>1204</v>
      </c>
      <c r="D1" s="1223"/>
    </row>
    <row r="2" spans="1:23" s="469" customFormat="1" x14ac:dyDescent="0.2">
      <c r="C2" s="1247"/>
      <c r="D2" s="1223"/>
      <c r="E2" s="1414"/>
      <c r="F2" s="1414"/>
      <c r="G2" s="1415"/>
      <c r="H2" s="1416"/>
      <c r="I2" s="1416"/>
      <c r="J2" s="1416"/>
      <c r="K2" s="1416"/>
      <c r="L2" s="1416"/>
      <c r="M2" s="1416"/>
      <c r="N2" s="1416"/>
      <c r="O2" s="1416"/>
      <c r="P2" s="1416"/>
      <c r="Q2" s="1416"/>
      <c r="R2" s="1416"/>
      <c r="S2" s="1416"/>
      <c r="T2" s="1416"/>
      <c r="U2" s="1416"/>
      <c r="V2" s="1416"/>
      <c r="W2" s="1416"/>
    </row>
    <row r="3" spans="1:23" s="469" customFormat="1" ht="31.5" customHeight="1" x14ac:dyDescent="0.2">
      <c r="A3" s="2102" t="s">
        <v>1045</v>
      </c>
      <c r="B3" s="2102"/>
      <c r="C3" s="2102"/>
      <c r="D3" s="1224"/>
      <c r="E3" s="1417"/>
      <c r="F3" s="1417"/>
      <c r="G3" s="1415"/>
      <c r="H3" s="1416"/>
      <c r="I3" s="1416"/>
      <c r="J3" s="1416"/>
      <c r="K3" s="1416"/>
      <c r="L3" s="1416"/>
      <c r="M3" s="1416"/>
      <c r="N3" s="1416"/>
      <c r="O3" s="1416"/>
      <c r="P3" s="1416"/>
      <c r="Q3" s="1416"/>
      <c r="R3" s="1416"/>
      <c r="S3" s="1416"/>
      <c r="T3" s="1416"/>
      <c r="U3" s="1416"/>
      <c r="V3" s="1416"/>
      <c r="W3" s="1416"/>
    </row>
    <row r="4" spans="1:23" s="469" customFormat="1" ht="19.5" customHeight="1" thickBot="1" x14ac:dyDescent="0.25">
      <c r="A4" s="838"/>
      <c r="B4" s="838"/>
      <c r="C4" s="1248"/>
      <c r="D4" s="1225"/>
      <c r="E4" s="1418"/>
      <c r="F4" s="1419"/>
      <c r="G4" s="1415"/>
      <c r="H4" s="1416"/>
      <c r="I4" s="1416"/>
      <c r="J4" s="1416"/>
      <c r="K4" s="1416"/>
      <c r="L4" s="1416"/>
      <c r="M4" s="1416"/>
      <c r="N4" s="1416"/>
      <c r="O4" s="1416"/>
      <c r="P4" s="1416"/>
      <c r="Q4" s="1416"/>
      <c r="R4" s="1416"/>
      <c r="S4" s="1416"/>
      <c r="T4" s="1416"/>
      <c r="U4" s="1416"/>
      <c r="V4" s="1416"/>
      <c r="W4" s="1416"/>
    </row>
    <row r="5" spans="1:23" s="469" customFormat="1" ht="12.75" customHeight="1" thickBot="1" x14ac:dyDescent="0.25">
      <c r="A5" s="2104" t="s">
        <v>46</v>
      </c>
      <c r="B5" s="2105"/>
      <c r="C5" s="1249" t="s">
        <v>83</v>
      </c>
      <c r="D5" s="1226"/>
      <c r="E5" s="1420"/>
      <c r="F5" s="1420"/>
      <c r="G5" s="1415"/>
      <c r="H5" s="1416"/>
      <c r="I5" s="1416"/>
      <c r="J5" s="1416"/>
      <c r="K5" s="1416"/>
      <c r="L5" s="1421"/>
      <c r="M5" s="1416"/>
      <c r="N5" s="1416"/>
      <c r="O5" s="1416"/>
      <c r="P5" s="1416"/>
      <c r="Q5" s="1416"/>
      <c r="R5" s="1416"/>
      <c r="S5" s="1416"/>
      <c r="T5" s="1416"/>
      <c r="U5" s="1416"/>
      <c r="V5" s="1416"/>
      <c r="W5" s="1416"/>
    </row>
    <row r="6" spans="1:23" s="470" customFormat="1" ht="15.75" customHeight="1" x14ac:dyDescent="0.2">
      <c r="A6" s="2106" t="s">
        <v>1046</v>
      </c>
      <c r="B6" s="2107"/>
      <c r="C6" s="1250">
        <v>13563345.9682</v>
      </c>
      <c r="D6" s="1227"/>
      <c r="E6" s="1422"/>
      <c r="F6" s="1423"/>
      <c r="G6" s="1424"/>
      <c r="H6" s="1425"/>
      <c r="I6" s="1426"/>
      <c r="J6" s="1427"/>
      <c r="K6" s="701"/>
      <c r="L6" s="1428"/>
      <c r="M6" s="1422"/>
      <c r="N6" s="701"/>
      <c r="O6" s="701"/>
      <c r="P6" s="701"/>
      <c r="Q6" s="701"/>
      <c r="R6" s="701"/>
      <c r="S6" s="701"/>
      <c r="T6" s="701"/>
      <c r="U6" s="701"/>
      <c r="V6" s="701"/>
      <c r="W6" s="701"/>
    </row>
    <row r="7" spans="1:23" s="470" customFormat="1" ht="15.75" customHeight="1" thickBot="1" x14ac:dyDescent="0.25">
      <c r="A7" s="2108" t="s">
        <v>1047</v>
      </c>
      <c r="B7" s="2109"/>
      <c r="C7" s="1251">
        <v>13046270.648360001</v>
      </c>
      <c r="D7" s="1227"/>
      <c r="E7" s="1429"/>
      <c r="F7" s="1429"/>
      <c r="G7" s="1424"/>
      <c r="H7" s="8"/>
      <c r="I7" s="702"/>
      <c r="J7" s="1427"/>
      <c r="K7" s="701"/>
      <c r="L7" s="1430"/>
      <c r="M7" s="1429"/>
      <c r="N7" s="701"/>
      <c r="O7" s="701"/>
      <c r="P7" s="701"/>
      <c r="Q7" s="701"/>
      <c r="R7" s="701"/>
      <c r="S7" s="701"/>
      <c r="T7" s="701"/>
      <c r="U7" s="701"/>
      <c r="V7" s="701"/>
      <c r="W7" s="701"/>
    </row>
    <row r="8" spans="1:23" s="470" customFormat="1" ht="15.75" customHeight="1" thickBot="1" x14ac:dyDescent="0.25">
      <c r="A8" s="2110" t="s">
        <v>1048</v>
      </c>
      <c r="B8" s="2111"/>
      <c r="C8" s="1252">
        <v>517075.31984000001</v>
      </c>
      <c r="D8" s="1228"/>
      <c r="E8" s="8"/>
      <c r="F8" s="1431"/>
      <c r="G8" s="1432"/>
      <c r="H8" s="1433"/>
      <c r="I8" s="1434"/>
      <c r="J8" s="1435"/>
      <c r="K8" s="1436"/>
      <c r="L8" s="1430"/>
      <c r="M8" s="1423"/>
      <c r="N8" s="701"/>
      <c r="O8" s="701"/>
      <c r="P8" s="701"/>
      <c r="Q8" s="701"/>
      <c r="R8" s="701"/>
      <c r="S8" s="701"/>
      <c r="T8" s="701"/>
      <c r="U8" s="701"/>
      <c r="V8" s="701"/>
      <c r="W8" s="701"/>
    </row>
    <row r="9" spans="1:23" s="470" customFormat="1" ht="25.5" customHeight="1" x14ac:dyDescent="0.2">
      <c r="A9" s="2112" t="s">
        <v>1049</v>
      </c>
      <c r="B9" s="2113"/>
      <c r="C9" s="1253">
        <v>2324569.3078399999</v>
      </c>
      <c r="D9" s="1229"/>
      <c r="E9" s="1423"/>
      <c r="F9" s="1434"/>
      <c r="G9" s="1424"/>
      <c r="H9" s="1437"/>
      <c r="I9" s="1438"/>
      <c r="J9" s="1427"/>
      <c r="K9" s="701"/>
      <c r="L9" s="1439"/>
      <c r="M9" s="701"/>
      <c r="N9" s="701"/>
      <c r="O9" s="701"/>
      <c r="P9" s="701"/>
      <c r="Q9" s="701"/>
      <c r="R9" s="701"/>
      <c r="S9" s="701"/>
      <c r="T9" s="701"/>
      <c r="U9" s="701"/>
      <c r="V9" s="701"/>
      <c r="W9" s="701"/>
    </row>
    <row r="10" spans="1:23" s="470" customFormat="1" ht="18" customHeight="1" x14ac:dyDescent="0.2">
      <c r="A10" s="2114" t="s">
        <v>1050</v>
      </c>
      <c r="B10" s="2115"/>
      <c r="C10" s="474">
        <v>408.42147</v>
      </c>
      <c r="D10" s="1229"/>
      <c r="E10" s="1423"/>
      <c r="F10" s="1440"/>
      <c r="G10" s="1424"/>
      <c r="H10" s="1441"/>
      <c r="I10" s="1427"/>
      <c r="J10" s="1435"/>
      <c r="K10" s="701"/>
      <c r="L10" s="701"/>
      <c r="M10" s="701"/>
      <c r="N10" s="701"/>
      <c r="O10" s="701"/>
      <c r="P10" s="701"/>
      <c r="Q10" s="701"/>
      <c r="R10" s="701"/>
      <c r="S10" s="701"/>
      <c r="T10" s="701"/>
      <c r="U10" s="701"/>
      <c r="V10" s="701"/>
      <c r="W10" s="701"/>
    </row>
    <row r="11" spans="1:23" s="470" customFormat="1" ht="25.5" customHeight="1" x14ac:dyDescent="0.2">
      <c r="A11" s="2116" t="s">
        <v>1051</v>
      </c>
      <c r="B11" s="2117"/>
      <c r="C11" s="1254">
        <v>-46875</v>
      </c>
      <c r="D11" s="1230"/>
      <c r="E11" s="1423"/>
      <c r="F11" s="1423"/>
      <c r="G11" s="1424"/>
      <c r="H11" s="1442"/>
      <c r="I11" s="1427"/>
      <c r="J11" s="1427"/>
      <c r="K11" s="701"/>
      <c r="L11" s="701"/>
      <c r="M11" s="701"/>
      <c r="N11" s="701"/>
      <c r="O11" s="701"/>
      <c r="P11" s="701"/>
      <c r="Q11" s="701"/>
      <c r="R11" s="701"/>
      <c r="S11" s="701"/>
      <c r="T11" s="701"/>
      <c r="U11" s="701"/>
      <c r="V11" s="701"/>
      <c r="W11" s="701"/>
    </row>
    <row r="12" spans="1:23" s="470" customFormat="1" ht="25.5" customHeight="1" x14ac:dyDescent="0.2">
      <c r="A12" s="2116" t="s">
        <v>1052</v>
      </c>
      <c r="B12" s="2117"/>
      <c r="C12" s="1255">
        <v>-29558.53429</v>
      </c>
      <c r="D12" s="1231"/>
      <c r="E12" s="1423"/>
      <c r="F12" s="1443"/>
      <c r="G12" s="1424"/>
      <c r="H12" s="1442"/>
      <c r="I12" s="1427"/>
      <c r="J12" s="1427"/>
      <c r="K12" s="701"/>
      <c r="L12" s="701"/>
      <c r="M12" s="701"/>
      <c r="N12" s="701"/>
      <c r="O12" s="701"/>
      <c r="P12" s="701"/>
      <c r="Q12" s="701"/>
      <c r="R12" s="701"/>
      <c r="S12" s="701"/>
      <c r="T12" s="701"/>
      <c r="U12" s="701"/>
      <c r="V12" s="701"/>
      <c r="W12" s="701"/>
    </row>
    <row r="13" spans="1:23" s="470" customFormat="1" ht="19.5" customHeight="1" thickBot="1" x14ac:dyDescent="0.25">
      <c r="A13" s="2118" t="s">
        <v>761</v>
      </c>
      <c r="B13" s="2117"/>
      <c r="C13" s="474"/>
      <c r="D13" s="1229"/>
      <c r="E13" s="1429"/>
      <c r="F13" s="1429"/>
      <c r="G13" s="701"/>
      <c r="H13" s="1444"/>
      <c r="I13" s="701"/>
      <c r="J13" s="1427"/>
      <c r="K13" s="701"/>
      <c r="L13" s="701"/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</row>
    <row r="14" spans="1:23" s="877" customFormat="1" ht="24" customHeight="1" thickBot="1" x14ac:dyDescent="0.25">
      <c r="A14" s="2119" t="s">
        <v>1053</v>
      </c>
      <c r="B14" s="2120"/>
      <c r="C14" s="1256">
        <f>C8+C9+C11+C12+C13+C10</f>
        <v>2765619.51486</v>
      </c>
      <c r="D14" s="1232"/>
      <c r="E14" s="1445"/>
      <c r="F14" s="1446"/>
      <c r="G14" s="1437"/>
      <c r="H14" s="1441"/>
      <c r="I14" s="1447"/>
      <c r="J14" s="1447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</row>
    <row r="15" spans="1:23" s="470" customFormat="1" ht="24" customHeight="1" x14ac:dyDescent="0.2">
      <c r="A15" s="2103" t="s">
        <v>5</v>
      </c>
      <c r="B15" s="2103"/>
      <c r="C15" s="2103"/>
      <c r="D15" s="1233"/>
      <c r="E15" s="1423"/>
      <c r="F15" s="1423"/>
      <c r="G15" s="1424"/>
      <c r="H15" s="1449"/>
      <c r="I15" s="701"/>
      <c r="J15" s="701"/>
      <c r="K15" s="701"/>
      <c r="L15" s="701"/>
      <c r="M15" s="701"/>
      <c r="N15" s="701"/>
      <c r="O15" s="701"/>
      <c r="P15" s="701"/>
      <c r="Q15" s="701"/>
      <c r="R15" s="701"/>
      <c r="S15" s="701"/>
      <c r="T15" s="701"/>
      <c r="U15" s="701"/>
      <c r="V15" s="701"/>
      <c r="W15" s="701"/>
    </row>
    <row r="16" spans="1:23" s="470" customFormat="1" ht="12.75" customHeight="1" thickBot="1" x14ac:dyDescent="0.25">
      <c r="A16" s="835"/>
      <c r="B16" s="835"/>
      <c r="C16" s="1257"/>
      <c r="D16" s="1224"/>
      <c r="E16" s="1450"/>
      <c r="F16" s="1450"/>
      <c r="G16" s="1424"/>
      <c r="H16" s="701"/>
      <c r="I16" s="701"/>
      <c r="J16" s="701"/>
      <c r="K16" s="701"/>
      <c r="L16" s="701"/>
      <c r="M16" s="701"/>
      <c r="N16" s="701"/>
      <c r="O16" s="701"/>
      <c r="P16" s="701"/>
      <c r="Q16" s="701"/>
      <c r="R16" s="701"/>
      <c r="S16" s="701"/>
      <c r="T16" s="701"/>
      <c r="U16" s="701"/>
      <c r="V16" s="701"/>
      <c r="W16" s="701"/>
    </row>
    <row r="17" spans="1:32" s="470" customFormat="1" ht="13.5" thickBot="1" x14ac:dyDescent="0.25">
      <c r="A17" s="2125" t="s">
        <v>46</v>
      </c>
      <c r="B17" s="2126"/>
      <c r="C17" s="569" t="s">
        <v>83</v>
      </c>
      <c r="D17" s="1234"/>
      <c r="E17" s="1451"/>
      <c r="F17" s="1452"/>
      <c r="G17" s="1424"/>
      <c r="H17" s="1453"/>
      <c r="I17" s="1454"/>
      <c r="J17" s="1454"/>
      <c r="K17" s="703"/>
      <c r="L17" s="1455"/>
      <c r="M17" s="1456"/>
      <c r="N17" s="701"/>
      <c r="O17" s="701"/>
      <c r="P17" s="701"/>
      <c r="Q17" s="701"/>
      <c r="R17" s="701"/>
      <c r="S17" s="701"/>
      <c r="T17" s="701"/>
      <c r="U17" s="701"/>
      <c r="V17" s="701"/>
      <c r="W17" s="701"/>
    </row>
    <row r="18" spans="1:32" s="877" customFormat="1" ht="27" customHeight="1" thickBot="1" x14ac:dyDescent="0.25">
      <c r="A18" s="2127" t="s">
        <v>1089</v>
      </c>
      <c r="B18" s="2128"/>
      <c r="C18" s="1258">
        <v>2765619.51486</v>
      </c>
      <c r="D18" s="1235"/>
      <c r="E18" s="1441"/>
      <c r="F18" s="1457"/>
      <c r="G18" s="1437"/>
      <c r="H18" s="1458"/>
      <c r="I18" s="1459"/>
      <c r="J18" s="1459"/>
      <c r="K18" s="1460"/>
      <c r="L18" s="1461"/>
      <c r="M18" s="1462"/>
      <c r="N18" s="1448"/>
      <c r="O18" s="1448"/>
      <c r="P18" s="1448"/>
      <c r="Q18" s="1448"/>
      <c r="R18" s="1448"/>
      <c r="S18" s="1448"/>
      <c r="T18" s="1448"/>
      <c r="U18" s="1448"/>
      <c r="V18" s="1448"/>
      <c r="W18" s="1448"/>
    </row>
    <row r="19" spans="1:32" s="470" customFormat="1" x14ac:dyDescent="0.2">
      <c r="A19" s="2129" t="s">
        <v>47</v>
      </c>
      <c r="B19" s="2130"/>
      <c r="C19" s="667"/>
      <c r="D19" s="1236"/>
      <c r="E19" s="1451"/>
      <c r="F19" s="701"/>
      <c r="G19" s="1424"/>
      <c r="H19" s="701"/>
      <c r="I19" s="701"/>
      <c r="J19" s="701"/>
      <c r="K19" s="701"/>
      <c r="L19" s="1463"/>
      <c r="M19" s="1463"/>
      <c r="N19" s="701"/>
      <c r="O19" s="701"/>
      <c r="P19" s="701"/>
      <c r="Q19" s="701"/>
      <c r="R19" s="701"/>
      <c r="S19" s="701"/>
      <c r="T19" s="701"/>
      <c r="U19" s="701"/>
      <c r="V19" s="701"/>
      <c r="W19" s="701"/>
    </row>
    <row r="20" spans="1:32" s="470" customFormat="1" ht="24" x14ac:dyDescent="0.2">
      <c r="A20" s="668"/>
      <c r="B20" s="471" t="s">
        <v>1054</v>
      </c>
      <c r="C20" s="474">
        <v>0</v>
      </c>
      <c r="D20" s="1237"/>
      <c r="E20" s="1451"/>
      <c r="F20" s="1451"/>
      <c r="G20" s="1424"/>
      <c r="H20" s="1456"/>
      <c r="I20" s="1464"/>
      <c r="J20" s="701"/>
      <c r="K20" s="701"/>
      <c r="L20" s="1465"/>
      <c r="M20" s="1466"/>
      <c r="N20" s="701"/>
      <c r="O20" s="701"/>
      <c r="P20" s="701"/>
      <c r="Q20" s="701"/>
      <c r="R20" s="701"/>
      <c r="S20" s="701"/>
      <c r="T20" s="701"/>
      <c r="U20" s="701"/>
      <c r="V20" s="701"/>
      <c r="W20" s="701"/>
    </row>
    <row r="21" spans="1:32" s="877" customFormat="1" ht="13.5" thickBot="1" x14ac:dyDescent="0.25">
      <c r="A21" s="2131" t="s">
        <v>679</v>
      </c>
      <c r="B21" s="2132"/>
      <c r="C21" s="1259">
        <f>C18+C20</f>
        <v>2765619.51486</v>
      </c>
      <c r="D21" s="1238"/>
      <c r="E21" s="1467"/>
      <c r="F21" s="1448"/>
      <c r="G21" s="1468"/>
      <c r="H21" s="1469"/>
      <c r="I21" s="1470"/>
      <c r="J21" s="1448"/>
      <c r="K21" s="1448"/>
      <c r="L21" s="1471"/>
      <c r="M21" s="1448"/>
      <c r="N21" s="1448"/>
      <c r="O21" s="1448"/>
      <c r="P21" s="1448"/>
      <c r="Q21" s="1448"/>
      <c r="R21" s="1448"/>
      <c r="S21" s="1448"/>
      <c r="T21" s="1448"/>
      <c r="U21" s="1448"/>
      <c r="V21" s="1448"/>
      <c r="W21" s="1448"/>
    </row>
    <row r="22" spans="1:32" s="470" customFormat="1" x14ac:dyDescent="0.2">
      <c r="A22" s="2129" t="s">
        <v>47</v>
      </c>
      <c r="B22" s="2130"/>
      <c r="C22" s="669"/>
      <c r="D22" s="1237"/>
      <c r="E22" s="1451"/>
      <c r="F22" s="1451"/>
      <c r="G22" s="1472"/>
      <c r="H22" s="1473"/>
      <c r="I22" s="1473"/>
      <c r="J22" s="701"/>
      <c r="K22" s="701"/>
      <c r="L22" s="701"/>
      <c r="M22" s="701"/>
      <c r="N22" s="701"/>
      <c r="O22" s="701"/>
      <c r="P22" s="701"/>
      <c r="Q22" s="701"/>
      <c r="R22" s="701"/>
      <c r="S22" s="701"/>
      <c r="T22" s="701"/>
      <c r="U22" s="701"/>
      <c r="V22" s="701"/>
      <c r="W22" s="701"/>
    </row>
    <row r="23" spans="1:32" s="470" customFormat="1" x14ac:dyDescent="0.2">
      <c r="A23" s="472"/>
      <c r="B23" s="471" t="s">
        <v>373</v>
      </c>
      <c r="C23" s="474">
        <v>932928.16256999969</v>
      </c>
      <c r="D23" s="1229"/>
      <c r="E23" s="704"/>
      <c r="F23" s="1474"/>
      <c r="G23" s="1475"/>
      <c r="H23" s="1476"/>
      <c r="I23" s="1477"/>
      <c r="J23" s="701"/>
      <c r="K23" s="701"/>
      <c r="L23" s="1428"/>
      <c r="M23" s="1422"/>
      <c r="N23" s="701"/>
      <c r="O23" s="701"/>
      <c r="P23" s="701"/>
      <c r="Q23" s="701"/>
      <c r="R23" s="701"/>
      <c r="S23" s="701"/>
      <c r="T23" s="701"/>
      <c r="U23" s="701"/>
      <c r="V23" s="701"/>
      <c r="W23" s="701"/>
    </row>
    <row r="24" spans="1:32" s="470" customFormat="1" x14ac:dyDescent="0.2">
      <c r="A24" s="472"/>
      <c r="B24" s="473" t="s">
        <v>429</v>
      </c>
      <c r="C24" s="474">
        <v>1832281.4651099984</v>
      </c>
      <c r="D24" s="1229"/>
      <c r="E24" s="1451"/>
      <c r="F24" s="1478"/>
      <c r="G24" s="1475"/>
      <c r="H24" s="1476"/>
      <c r="I24" s="1477"/>
      <c r="J24" s="701"/>
      <c r="K24" s="701"/>
      <c r="L24" s="1430"/>
      <c r="M24" s="1422"/>
      <c r="N24" s="701"/>
      <c r="O24" s="701"/>
      <c r="P24" s="701"/>
      <c r="Q24" s="701"/>
      <c r="R24" s="701"/>
      <c r="S24" s="701"/>
      <c r="T24" s="701"/>
      <c r="U24" s="701"/>
      <c r="V24" s="701"/>
      <c r="W24" s="701"/>
    </row>
    <row r="25" spans="1:32" s="470" customFormat="1" x14ac:dyDescent="0.2">
      <c r="A25" s="472"/>
      <c r="B25" s="575" t="s">
        <v>1055</v>
      </c>
      <c r="C25" s="474">
        <v>0</v>
      </c>
      <c r="D25" s="1229"/>
      <c r="E25" s="1451"/>
      <c r="F25" s="1451"/>
      <c r="G25" s="1424"/>
      <c r="H25" s="701"/>
      <c r="I25" s="701"/>
      <c r="J25" s="701"/>
      <c r="K25" s="701"/>
      <c r="L25" s="1430"/>
      <c r="M25" s="701"/>
      <c r="N25" s="701"/>
      <c r="O25" s="701"/>
      <c r="P25" s="701"/>
      <c r="Q25" s="701"/>
      <c r="R25" s="701"/>
      <c r="S25" s="701"/>
      <c r="T25" s="701"/>
      <c r="U25" s="701"/>
      <c r="V25" s="701"/>
      <c r="W25" s="701"/>
    </row>
    <row r="26" spans="1:32" s="470" customFormat="1" x14ac:dyDescent="0.2">
      <c r="A26" s="472"/>
      <c r="B26" s="575" t="s">
        <v>1056</v>
      </c>
      <c r="C26" s="474">
        <v>408.42147</v>
      </c>
      <c r="D26" s="1229"/>
      <c r="E26" s="1451"/>
      <c r="F26" s="1451"/>
      <c r="G26" s="1479"/>
      <c r="H26" s="1441"/>
      <c r="I26" s="1444"/>
      <c r="J26" s="701"/>
      <c r="K26" s="701"/>
      <c r="L26" s="1480"/>
      <c r="M26" s="701"/>
      <c r="N26" s="701"/>
      <c r="O26" s="701"/>
      <c r="P26" s="701"/>
      <c r="Q26" s="701"/>
      <c r="R26" s="701"/>
      <c r="S26" s="701"/>
      <c r="T26" s="701"/>
      <c r="U26" s="701"/>
      <c r="V26" s="701"/>
      <c r="W26" s="701"/>
    </row>
    <row r="27" spans="1:32" s="470" customFormat="1" ht="18" customHeight="1" thickBot="1" x14ac:dyDescent="0.25">
      <c r="A27" s="2133" t="s">
        <v>430</v>
      </c>
      <c r="B27" s="2134"/>
      <c r="C27" s="1260">
        <f>C21</f>
        <v>2765619.51486</v>
      </c>
      <c r="D27" s="1744"/>
      <c r="E27" s="1481"/>
      <c r="F27" s="1482"/>
      <c r="G27" s="1475"/>
      <c r="H27" s="701"/>
      <c r="I27" s="1483"/>
      <c r="J27" s="1444"/>
      <c r="K27" s="701"/>
      <c r="L27" s="1480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</row>
    <row r="28" spans="1:32" s="470" customFormat="1" ht="16.5" customHeight="1" thickBot="1" x14ac:dyDescent="0.25">
      <c r="A28" s="2121" t="s">
        <v>1057</v>
      </c>
      <c r="B28" s="2122"/>
      <c r="C28" s="1261">
        <f>SUM(C29:C73)</f>
        <v>2765271.2906799996</v>
      </c>
      <c r="D28" s="1230"/>
      <c r="E28" s="704"/>
      <c r="F28" s="1484"/>
      <c r="G28" s="1485"/>
      <c r="H28" s="1486"/>
      <c r="I28" s="701"/>
      <c r="J28" s="701"/>
      <c r="K28" s="701"/>
      <c r="L28" s="703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</row>
    <row r="29" spans="1:32" s="470" customFormat="1" ht="24" x14ac:dyDescent="0.2">
      <c r="A29" s="670"/>
      <c r="B29" s="671" t="s">
        <v>1058</v>
      </c>
      <c r="C29" s="1262">
        <v>310000</v>
      </c>
      <c r="D29" s="1239"/>
      <c r="E29" s="1487"/>
      <c r="F29" s="1488"/>
      <c r="G29" s="1489"/>
      <c r="H29" s="701"/>
      <c r="I29" s="1490"/>
      <c r="J29" s="1490"/>
      <c r="K29" s="1490"/>
      <c r="L29" s="1483"/>
      <c r="M29" s="1491"/>
      <c r="N29" s="1492"/>
      <c r="O29" s="1492"/>
      <c r="P29" s="1493"/>
      <c r="Q29" s="1493"/>
      <c r="R29" s="1493"/>
      <c r="S29" s="1493"/>
      <c r="T29" s="1493"/>
      <c r="U29" s="1493"/>
      <c r="V29" s="1493"/>
      <c r="W29" s="1493"/>
      <c r="X29" s="576"/>
      <c r="Y29" s="576"/>
      <c r="Z29" s="576"/>
      <c r="AA29" s="576"/>
      <c r="AB29" s="576"/>
      <c r="AC29" s="576"/>
      <c r="AD29" s="576"/>
      <c r="AE29" s="576"/>
      <c r="AF29" s="576"/>
    </row>
    <row r="30" spans="1:32" s="470" customFormat="1" ht="36" x14ac:dyDescent="0.2">
      <c r="A30" s="77"/>
      <c r="B30" s="671" t="s">
        <v>1059</v>
      </c>
      <c r="C30" s="1263">
        <v>1183.9978000000001</v>
      </c>
      <c r="D30" s="1239"/>
      <c r="E30" s="1487"/>
      <c r="F30" s="1488"/>
      <c r="G30" s="841"/>
      <c r="H30" s="842"/>
      <c r="I30" s="843"/>
      <c r="J30" s="706"/>
      <c r="K30" s="844"/>
      <c r="L30" s="845"/>
      <c r="M30" s="707"/>
      <c r="N30" s="708"/>
      <c r="O30" s="846"/>
      <c r="P30" s="1494"/>
      <c r="Q30" s="1495"/>
      <c r="R30" s="1495"/>
      <c r="S30" s="1495"/>
      <c r="T30" s="1495"/>
      <c r="U30" s="1495"/>
      <c r="V30" s="1495"/>
      <c r="W30" s="1495"/>
      <c r="X30" s="672"/>
      <c r="Y30" s="672"/>
      <c r="Z30" s="672"/>
    </row>
    <row r="31" spans="1:32" s="470" customFormat="1" ht="39" customHeight="1" x14ac:dyDescent="0.2">
      <c r="A31" s="77"/>
      <c r="B31" s="671" t="s">
        <v>1728</v>
      </c>
      <c r="C31" s="1263">
        <f>1044.955+33747.25451+57337.748</f>
        <v>92129.957510000007</v>
      </c>
      <c r="D31" s="1239"/>
      <c r="E31" s="1487"/>
      <c r="F31" s="1496"/>
      <c r="G31" s="841"/>
      <c r="H31" s="842"/>
      <c r="I31" s="847"/>
      <c r="J31" s="848"/>
      <c r="K31" s="844"/>
      <c r="L31" s="845"/>
      <c r="M31" s="849"/>
      <c r="N31" s="850"/>
      <c r="O31" s="851"/>
      <c r="P31" s="1495"/>
      <c r="Q31" s="1495"/>
      <c r="R31" s="1495"/>
      <c r="S31" s="1495"/>
      <c r="T31" s="1495"/>
      <c r="U31" s="1495"/>
      <c r="V31" s="1495"/>
      <c r="W31" s="1495"/>
      <c r="X31" s="672"/>
      <c r="Y31" s="672"/>
      <c r="Z31" s="672"/>
    </row>
    <row r="32" spans="1:32" s="470" customFormat="1" ht="36" x14ac:dyDescent="0.2">
      <c r="A32" s="77"/>
      <c r="B32" s="673" t="s">
        <v>1060</v>
      </c>
      <c r="C32" s="1263">
        <v>0.17910000000000001</v>
      </c>
      <c r="D32" s="1239"/>
      <c r="E32" s="1497"/>
      <c r="F32" s="1488"/>
      <c r="G32" s="852"/>
      <c r="H32" s="848"/>
      <c r="I32" s="848"/>
      <c r="J32" s="853"/>
      <c r="K32" s="844"/>
      <c r="L32" s="845"/>
      <c r="M32" s="849"/>
      <c r="N32" s="850"/>
      <c r="O32" s="851"/>
      <c r="P32" s="1495"/>
      <c r="Q32" s="1495"/>
      <c r="R32" s="1495"/>
      <c r="S32" s="1495"/>
      <c r="T32" s="1495"/>
      <c r="U32" s="1495"/>
      <c r="V32" s="1495"/>
      <c r="W32" s="1495"/>
      <c r="X32" s="672"/>
      <c r="Y32" s="672"/>
      <c r="Z32" s="672"/>
    </row>
    <row r="33" spans="1:257" s="470" customFormat="1" ht="36" x14ac:dyDescent="0.2">
      <c r="A33" s="77"/>
      <c r="B33" s="673" t="s">
        <v>1061</v>
      </c>
      <c r="C33" s="1263">
        <v>142386.21629000001</v>
      </c>
      <c r="D33" s="1239"/>
      <c r="E33" s="1497"/>
      <c r="F33" s="1498"/>
      <c r="G33" s="852"/>
      <c r="H33" s="848"/>
      <c r="I33" s="848"/>
      <c r="J33" s="853"/>
      <c r="K33" s="844"/>
      <c r="L33" s="845"/>
      <c r="M33" s="849"/>
      <c r="N33" s="850"/>
      <c r="O33" s="851"/>
      <c r="P33" s="1495"/>
      <c r="Q33" s="1495"/>
      <c r="R33" s="1495"/>
      <c r="S33" s="1495"/>
      <c r="T33" s="1495"/>
      <c r="U33" s="1495"/>
      <c r="V33" s="1495"/>
      <c r="W33" s="1495"/>
      <c r="X33" s="672"/>
      <c r="Y33" s="672"/>
      <c r="Z33" s="672"/>
    </row>
    <row r="34" spans="1:257" s="470" customFormat="1" ht="48" x14ac:dyDescent="0.2">
      <c r="A34" s="77"/>
      <c r="B34" s="673" t="s">
        <v>1062</v>
      </c>
      <c r="C34" s="1263">
        <v>53921.75</v>
      </c>
      <c r="D34" s="1239"/>
      <c r="E34" s="1497"/>
      <c r="F34" s="1498"/>
      <c r="G34" s="841"/>
      <c r="H34" s="842"/>
      <c r="I34" s="841"/>
      <c r="J34" s="842"/>
      <c r="K34" s="841"/>
      <c r="L34" s="842"/>
      <c r="M34" s="841"/>
      <c r="N34" s="842"/>
      <c r="O34" s="851"/>
      <c r="P34" s="1495"/>
      <c r="Q34" s="1495"/>
      <c r="R34" s="1495"/>
      <c r="S34" s="1495"/>
      <c r="T34" s="1495"/>
      <c r="U34" s="1495"/>
      <c r="V34" s="1495"/>
      <c r="W34" s="1495"/>
      <c r="X34" s="672"/>
      <c r="Y34" s="672"/>
      <c r="Z34" s="672"/>
    </row>
    <row r="35" spans="1:257" s="470" customFormat="1" ht="47.25" customHeight="1" thickBot="1" x14ac:dyDescent="0.25">
      <c r="A35" s="638"/>
      <c r="B35" s="691" t="s">
        <v>1063</v>
      </c>
      <c r="C35" s="1264">
        <v>6227.4413199999999</v>
      </c>
      <c r="D35" s="1239"/>
      <c r="E35" s="1497"/>
      <c r="F35" s="1498"/>
      <c r="G35" s="841"/>
      <c r="H35" s="848"/>
      <c r="I35" s="841"/>
      <c r="J35" s="842"/>
      <c r="K35" s="844"/>
      <c r="L35" s="845"/>
      <c r="M35" s="849"/>
      <c r="N35" s="850"/>
      <c r="O35" s="851"/>
      <c r="P35" s="1495"/>
      <c r="Q35" s="1495"/>
      <c r="R35" s="1495"/>
      <c r="S35" s="1495"/>
      <c r="T35" s="1495"/>
      <c r="U35" s="1495"/>
      <c r="V35" s="1495"/>
      <c r="W35" s="1495"/>
      <c r="X35" s="672"/>
      <c r="Y35" s="672"/>
      <c r="Z35" s="672"/>
    </row>
    <row r="36" spans="1:257" s="469" customFormat="1" ht="16.5" thickBot="1" x14ac:dyDescent="0.25">
      <c r="A36" s="682"/>
      <c r="B36" s="683"/>
      <c r="C36" s="727" t="s">
        <v>1703</v>
      </c>
      <c r="D36" s="1240"/>
      <c r="E36" s="705"/>
      <c r="F36" s="706"/>
      <c r="G36" s="706"/>
      <c r="H36" s="706"/>
      <c r="I36" s="706"/>
      <c r="J36" s="706"/>
      <c r="K36" s="706"/>
      <c r="L36" s="707"/>
      <c r="M36" s="708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685"/>
      <c r="Y36" s="685"/>
      <c r="Z36" s="684"/>
      <c r="AA36" s="684"/>
      <c r="AB36" s="684"/>
      <c r="AC36" s="684"/>
      <c r="AD36" s="684"/>
      <c r="AE36" s="684"/>
      <c r="AF36" s="684"/>
      <c r="AG36" s="684"/>
      <c r="AH36" s="684"/>
      <c r="AI36" s="684"/>
      <c r="AJ36" s="684"/>
      <c r="AK36" s="684"/>
      <c r="AL36" s="684"/>
      <c r="AM36" s="684"/>
      <c r="AN36" s="684"/>
      <c r="AO36" s="684"/>
      <c r="AP36" s="684"/>
      <c r="AQ36" s="684"/>
      <c r="AR36" s="684"/>
      <c r="AS36" s="684"/>
      <c r="AT36" s="684"/>
      <c r="AU36" s="684"/>
      <c r="AV36" s="684"/>
      <c r="AW36" s="684"/>
      <c r="AX36" s="684"/>
      <c r="AY36" s="684"/>
      <c r="AZ36" s="684"/>
      <c r="BA36" s="684"/>
      <c r="BB36" s="684"/>
      <c r="BC36" s="684"/>
      <c r="BD36" s="684"/>
      <c r="BE36" s="684"/>
      <c r="BF36" s="684"/>
      <c r="BG36" s="684"/>
      <c r="BH36" s="684"/>
      <c r="BI36" s="684"/>
      <c r="BJ36" s="684"/>
      <c r="BK36" s="684"/>
      <c r="BL36" s="684"/>
      <c r="BM36" s="684"/>
      <c r="BN36" s="684"/>
      <c r="BO36" s="684"/>
      <c r="BP36" s="684"/>
      <c r="BQ36" s="684"/>
      <c r="BR36" s="684"/>
      <c r="BS36" s="684"/>
      <c r="BT36" s="684"/>
      <c r="BU36" s="684"/>
      <c r="BV36" s="684"/>
      <c r="BW36" s="684"/>
      <c r="BX36" s="684"/>
      <c r="BY36" s="684"/>
      <c r="BZ36" s="684"/>
      <c r="CA36" s="684"/>
      <c r="CB36" s="684"/>
      <c r="CC36" s="684"/>
      <c r="CD36" s="684"/>
      <c r="CE36" s="684"/>
      <c r="CF36" s="684"/>
      <c r="CG36" s="684"/>
      <c r="CH36" s="684"/>
      <c r="CI36" s="684"/>
      <c r="CJ36" s="684"/>
      <c r="CK36" s="684"/>
      <c r="CL36" s="684"/>
      <c r="CM36" s="684"/>
      <c r="CN36" s="684"/>
      <c r="CO36" s="684"/>
      <c r="CP36" s="684"/>
      <c r="CQ36" s="684"/>
      <c r="CR36" s="684"/>
      <c r="CS36" s="684"/>
      <c r="CT36" s="684"/>
      <c r="CU36" s="684"/>
      <c r="CV36" s="684"/>
      <c r="CW36" s="684"/>
      <c r="CX36" s="684"/>
      <c r="CY36" s="684"/>
      <c r="CZ36" s="684"/>
      <c r="DA36" s="684"/>
      <c r="DB36" s="684"/>
      <c r="DC36" s="684"/>
      <c r="DD36" s="684"/>
      <c r="DE36" s="684"/>
      <c r="DF36" s="684"/>
      <c r="DG36" s="684"/>
      <c r="DH36" s="684"/>
      <c r="DI36" s="684"/>
      <c r="DJ36" s="684"/>
      <c r="DK36" s="684"/>
      <c r="DL36" s="684"/>
      <c r="DM36" s="684"/>
      <c r="DN36" s="684"/>
      <c r="DO36" s="684"/>
      <c r="DP36" s="684"/>
      <c r="DQ36" s="684"/>
      <c r="DR36" s="684"/>
      <c r="DS36" s="684"/>
      <c r="DT36" s="684"/>
      <c r="DU36" s="684"/>
      <c r="DV36" s="684"/>
      <c r="DW36" s="684"/>
      <c r="DX36" s="684"/>
      <c r="DY36" s="684"/>
      <c r="DZ36" s="684"/>
      <c r="EA36" s="684"/>
      <c r="EB36" s="684"/>
      <c r="EC36" s="684"/>
      <c r="ED36" s="684"/>
      <c r="EE36" s="684"/>
      <c r="EF36" s="684"/>
      <c r="EG36" s="684"/>
      <c r="EH36" s="684"/>
      <c r="EI36" s="684"/>
      <c r="EJ36" s="684"/>
      <c r="EK36" s="684"/>
      <c r="EL36" s="684"/>
      <c r="EM36" s="684"/>
      <c r="EN36" s="684"/>
      <c r="EO36" s="684"/>
      <c r="EP36" s="684"/>
      <c r="EQ36" s="684"/>
      <c r="ER36" s="684"/>
      <c r="ES36" s="684"/>
      <c r="ET36" s="684"/>
      <c r="EU36" s="684"/>
      <c r="EV36" s="684"/>
      <c r="EW36" s="684"/>
      <c r="EX36" s="684"/>
      <c r="EY36" s="684"/>
      <c r="EZ36" s="684"/>
      <c r="FA36" s="684"/>
      <c r="FB36" s="684"/>
      <c r="FC36" s="684"/>
      <c r="FD36" s="684"/>
      <c r="FE36" s="684"/>
      <c r="FF36" s="684"/>
      <c r="FG36" s="684"/>
      <c r="FH36" s="684"/>
      <c r="FI36" s="684"/>
      <c r="FJ36" s="684"/>
      <c r="FK36" s="684"/>
      <c r="FL36" s="684"/>
      <c r="FM36" s="684"/>
      <c r="FN36" s="684"/>
      <c r="FO36" s="684"/>
      <c r="FP36" s="684"/>
      <c r="FQ36" s="684"/>
      <c r="FR36" s="684"/>
      <c r="FS36" s="684"/>
      <c r="FT36" s="684"/>
      <c r="FU36" s="684"/>
      <c r="FV36" s="684"/>
      <c r="FW36" s="684"/>
      <c r="FX36" s="684"/>
      <c r="FY36" s="684"/>
      <c r="FZ36" s="684"/>
      <c r="GA36" s="684"/>
      <c r="GB36" s="684"/>
      <c r="GC36" s="684"/>
      <c r="GD36" s="684"/>
      <c r="GE36" s="684"/>
      <c r="GF36" s="684"/>
      <c r="GG36" s="684"/>
      <c r="GH36" s="684"/>
      <c r="GI36" s="684"/>
      <c r="GJ36" s="684"/>
      <c r="GK36" s="684"/>
      <c r="GL36" s="684"/>
      <c r="GM36" s="684"/>
      <c r="GN36" s="684"/>
      <c r="GO36" s="684"/>
      <c r="GP36" s="684"/>
      <c r="GQ36" s="684"/>
      <c r="GR36" s="684"/>
      <c r="GS36" s="684"/>
      <c r="GT36" s="684"/>
      <c r="GU36" s="684"/>
      <c r="GV36" s="684"/>
      <c r="GW36" s="684"/>
      <c r="GX36" s="684"/>
      <c r="GY36" s="684"/>
      <c r="GZ36" s="684"/>
      <c r="HA36" s="684"/>
      <c r="HB36" s="684"/>
      <c r="HC36" s="684"/>
      <c r="HD36" s="684"/>
      <c r="HE36" s="684"/>
      <c r="HF36" s="684"/>
      <c r="HG36" s="684"/>
      <c r="HH36" s="684"/>
      <c r="HI36" s="684"/>
      <c r="HJ36" s="684"/>
      <c r="HK36" s="684"/>
      <c r="HL36" s="684"/>
      <c r="HM36" s="684"/>
      <c r="HN36" s="684"/>
      <c r="HO36" s="684"/>
      <c r="HP36" s="684"/>
      <c r="HQ36" s="684"/>
      <c r="HR36" s="684"/>
      <c r="HS36" s="684"/>
      <c r="HT36" s="684"/>
      <c r="HU36" s="684"/>
      <c r="HV36" s="684"/>
      <c r="HW36" s="684"/>
      <c r="HX36" s="684"/>
      <c r="HY36" s="684"/>
      <c r="HZ36" s="684"/>
      <c r="IA36" s="684"/>
      <c r="IB36" s="684"/>
      <c r="IC36" s="684"/>
      <c r="ID36" s="684"/>
      <c r="IE36" s="684"/>
      <c r="IF36" s="684"/>
      <c r="IG36" s="684"/>
      <c r="IH36" s="684"/>
      <c r="II36" s="684"/>
      <c r="IJ36" s="684"/>
      <c r="IK36" s="684"/>
      <c r="IL36" s="684"/>
      <c r="IM36" s="684"/>
      <c r="IN36" s="684"/>
      <c r="IO36" s="684"/>
      <c r="IP36" s="684"/>
      <c r="IQ36" s="684"/>
      <c r="IR36" s="684"/>
      <c r="IS36" s="684"/>
      <c r="IT36" s="684"/>
      <c r="IU36" s="684"/>
      <c r="IV36" s="684"/>
      <c r="IW36" s="684"/>
    </row>
    <row r="37" spans="1:257" s="469" customFormat="1" ht="18" customHeight="1" thickBot="1" x14ac:dyDescent="0.25">
      <c r="A37" s="2121" t="s">
        <v>1057</v>
      </c>
      <c r="B37" s="2122"/>
      <c r="C37" s="569" t="s">
        <v>762</v>
      </c>
      <c r="D37" s="1234"/>
      <c r="E37" s="704"/>
      <c r="F37" s="701"/>
      <c r="G37" s="701"/>
      <c r="H37" s="701"/>
      <c r="I37" s="701"/>
      <c r="J37" s="701"/>
      <c r="K37" s="703"/>
      <c r="L37" s="701"/>
      <c r="M37" s="701"/>
      <c r="N37" s="701"/>
      <c r="O37" s="701"/>
      <c r="P37" s="701"/>
      <c r="Q37" s="701"/>
      <c r="R37" s="701"/>
      <c r="S37" s="701"/>
      <c r="T37" s="701"/>
      <c r="U37" s="701"/>
      <c r="V37" s="701"/>
      <c r="W37" s="701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0"/>
      <c r="AP37" s="470"/>
      <c r="AQ37" s="470"/>
      <c r="AR37" s="470"/>
      <c r="AS37" s="470"/>
      <c r="AT37" s="470"/>
      <c r="AU37" s="470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0"/>
      <c r="BS37" s="470"/>
      <c r="BT37" s="470"/>
      <c r="BU37" s="470"/>
      <c r="BV37" s="470"/>
      <c r="BW37" s="470"/>
      <c r="BX37" s="470"/>
      <c r="BY37" s="470"/>
      <c r="BZ37" s="470"/>
      <c r="CA37" s="470"/>
      <c r="CB37" s="470"/>
      <c r="CC37" s="470"/>
      <c r="CD37" s="470"/>
      <c r="CE37" s="470"/>
      <c r="CF37" s="470"/>
      <c r="CG37" s="470"/>
      <c r="CH37" s="470"/>
      <c r="CI37" s="470"/>
      <c r="CJ37" s="470"/>
      <c r="CK37" s="470"/>
      <c r="CL37" s="470"/>
      <c r="CM37" s="470"/>
      <c r="CN37" s="470"/>
      <c r="CO37" s="470"/>
      <c r="CP37" s="470"/>
      <c r="CQ37" s="470"/>
      <c r="CR37" s="470"/>
      <c r="CS37" s="470"/>
      <c r="CT37" s="470"/>
      <c r="CU37" s="470"/>
      <c r="CV37" s="470"/>
      <c r="CW37" s="470"/>
      <c r="CX37" s="470"/>
      <c r="CY37" s="470"/>
      <c r="CZ37" s="470"/>
      <c r="DA37" s="470"/>
      <c r="DB37" s="470"/>
      <c r="DC37" s="470"/>
      <c r="DD37" s="470"/>
      <c r="DE37" s="470"/>
      <c r="DF37" s="470"/>
      <c r="DG37" s="470"/>
      <c r="DH37" s="470"/>
      <c r="DI37" s="470"/>
      <c r="DJ37" s="470"/>
      <c r="DK37" s="470"/>
      <c r="DL37" s="470"/>
      <c r="DM37" s="470"/>
      <c r="DN37" s="470"/>
      <c r="DO37" s="470"/>
      <c r="DP37" s="470"/>
      <c r="DQ37" s="470"/>
      <c r="DR37" s="470"/>
      <c r="DS37" s="470"/>
      <c r="DT37" s="470"/>
      <c r="DU37" s="470"/>
      <c r="DV37" s="470"/>
      <c r="DW37" s="470"/>
      <c r="DX37" s="470"/>
      <c r="DY37" s="470"/>
      <c r="DZ37" s="470"/>
      <c r="EA37" s="470"/>
      <c r="EB37" s="470"/>
      <c r="EC37" s="470"/>
      <c r="ED37" s="470"/>
      <c r="EE37" s="470"/>
      <c r="EF37" s="470"/>
      <c r="EG37" s="470"/>
      <c r="EH37" s="470"/>
      <c r="EI37" s="470"/>
      <c r="EJ37" s="470"/>
      <c r="EK37" s="470"/>
      <c r="EL37" s="470"/>
      <c r="EM37" s="470"/>
      <c r="EN37" s="470"/>
      <c r="EO37" s="470"/>
      <c r="EP37" s="470"/>
      <c r="EQ37" s="470"/>
      <c r="ER37" s="470"/>
      <c r="ES37" s="470"/>
      <c r="ET37" s="470"/>
      <c r="EU37" s="470"/>
      <c r="EV37" s="470"/>
      <c r="EW37" s="470"/>
      <c r="EX37" s="470"/>
      <c r="EY37" s="470"/>
      <c r="EZ37" s="470"/>
      <c r="FA37" s="470"/>
      <c r="FB37" s="470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0"/>
      <c r="FR37" s="470"/>
      <c r="FS37" s="470"/>
      <c r="FT37" s="470"/>
      <c r="FU37" s="470"/>
      <c r="FV37" s="470"/>
      <c r="FW37" s="470"/>
      <c r="FX37" s="470"/>
      <c r="FY37" s="470"/>
      <c r="FZ37" s="470"/>
      <c r="GA37" s="470"/>
      <c r="GB37" s="470"/>
      <c r="GC37" s="470"/>
      <c r="GD37" s="470"/>
      <c r="GE37" s="470"/>
      <c r="GF37" s="470"/>
      <c r="GG37" s="470"/>
      <c r="GH37" s="470"/>
      <c r="GI37" s="470"/>
      <c r="GJ37" s="470"/>
      <c r="GK37" s="470"/>
      <c r="GL37" s="470"/>
      <c r="GM37" s="470"/>
      <c r="GN37" s="470"/>
      <c r="GO37" s="470"/>
      <c r="GP37" s="470"/>
      <c r="GQ37" s="470"/>
      <c r="GR37" s="470"/>
      <c r="GS37" s="470"/>
      <c r="GT37" s="470"/>
      <c r="GU37" s="470"/>
      <c r="GV37" s="470"/>
      <c r="GW37" s="470"/>
      <c r="GX37" s="470"/>
      <c r="GY37" s="470"/>
      <c r="GZ37" s="470"/>
      <c r="HA37" s="470"/>
      <c r="HB37" s="470"/>
      <c r="HC37" s="470"/>
      <c r="HD37" s="470"/>
      <c r="HE37" s="470"/>
      <c r="HF37" s="470"/>
      <c r="HG37" s="470"/>
      <c r="HH37" s="470"/>
      <c r="HI37" s="470"/>
      <c r="HJ37" s="470"/>
      <c r="HK37" s="470"/>
      <c r="HL37" s="470"/>
      <c r="HM37" s="470"/>
      <c r="HN37" s="470"/>
      <c r="HO37" s="470"/>
      <c r="HP37" s="470"/>
      <c r="HQ37" s="470"/>
      <c r="HR37" s="470"/>
      <c r="HS37" s="470"/>
      <c r="HT37" s="470"/>
      <c r="HU37" s="470"/>
      <c r="HV37" s="470"/>
      <c r="HW37" s="470"/>
      <c r="HX37" s="470"/>
      <c r="HY37" s="470"/>
      <c r="HZ37" s="470"/>
      <c r="IA37" s="470"/>
      <c r="IB37" s="470"/>
      <c r="IC37" s="470"/>
      <c r="ID37" s="470"/>
      <c r="IE37" s="470"/>
      <c r="IF37" s="470"/>
      <c r="IG37" s="470"/>
      <c r="IH37" s="470"/>
      <c r="II37" s="470"/>
      <c r="IJ37" s="470"/>
      <c r="IK37" s="470"/>
      <c r="IL37" s="470"/>
      <c r="IM37" s="470"/>
      <c r="IN37" s="470"/>
      <c r="IO37" s="470"/>
      <c r="IP37" s="470"/>
      <c r="IQ37" s="470"/>
      <c r="IR37" s="470"/>
      <c r="IS37" s="470"/>
      <c r="IT37" s="470"/>
      <c r="IU37" s="470"/>
      <c r="IV37" s="470"/>
      <c r="IW37" s="470"/>
    </row>
    <row r="38" spans="1:257" s="470" customFormat="1" ht="50.25" customHeight="1" x14ac:dyDescent="0.2">
      <c r="A38" s="77"/>
      <c r="B38" s="673" t="s">
        <v>1720</v>
      </c>
      <c r="C38" s="1263">
        <v>18461.837930000002</v>
      </c>
      <c r="D38" s="1239"/>
      <c r="E38" s="1497"/>
      <c r="F38" s="1498"/>
      <c r="G38" s="841"/>
      <c r="H38" s="848"/>
      <c r="I38" s="848"/>
      <c r="J38" s="853"/>
      <c r="K38" s="844"/>
      <c r="L38" s="845"/>
      <c r="M38" s="849"/>
      <c r="N38" s="850"/>
      <c r="O38" s="851"/>
      <c r="P38" s="1495"/>
      <c r="Q38" s="1495"/>
      <c r="R38" s="1495"/>
      <c r="S38" s="1495"/>
      <c r="T38" s="1495"/>
      <c r="U38" s="1495"/>
      <c r="V38" s="1495"/>
      <c r="W38" s="1495"/>
      <c r="X38" s="672"/>
      <c r="Y38" s="672"/>
      <c r="Z38" s="672"/>
    </row>
    <row r="39" spans="1:257" s="470" customFormat="1" ht="36" x14ac:dyDescent="0.2">
      <c r="A39" s="868"/>
      <c r="B39" s="673" t="s">
        <v>1064</v>
      </c>
      <c r="C39" s="1263">
        <v>31606.432000000001</v>
      </c>
      <c r="D39" s="1239"/>
      <c r="E39" s="1497"/>
      <c r="F39" s="1498"/>
      <c r="G39" s="854"/>
      <c r="H39" s="706"/>
      <c r="I39" s="706"/>
      <c r="J39" s="849"/>
      <c r="K39" s="844"/>
      <c r="L39" s="845"/>
      <c r="M39" s="707"/>
      <c r="N39" s="708"/>
      <c r="O39" s="707"/>
      <c r="P39" s="1495"/>
      <c r="Q39" s="1495"/>
      <c r="R39" s="1495"/>
      <c r="S39" s="1495"/>
      <c r="T39" s="1495"/>
      <c r="U39" s="1495"/>
      <c r="V39" s="1495"/>
      <c r="W39" s="1495"/>
      <c r="X39" s="672"/>
      <c r="Y39" s="672"/>
      <c r="Z39" s="672"/>
    </row>
    <row r="40" spans="1:257" s="470" customFormat="1" ht="24" x14ac:dyDescent="0.2">
      <c r="A40" s="868"/>
      <c r="B40" s="673" t="s">
        <v>1065</v>
      </c>
      <c r="C40" s="1263">
        <v>4710.7420000000002</v>
      </c>
      <c r="D40" s="1239"/>
      <c r="E40" s="1497"/>
      <c r="F40" s="1498"/>
      <c r="G40" s="854"/>
      <c r="H40" s="706"/>
      <c r="I40" s="706"/>
      <c r="J40" s="849"/>
      <c r="K40" s="844"/>
      <c r="L40" s="845"/>
      <c r="M40" s="707"/>
      <c r="N40" s="708"/>
      <c r="O40" s="707"/>
      <c r="P40" s="1495"/>
      <c r="Q40" s="1495"/>
      <c r="R40" s="1495"/>
      <c r="S40" s="1495"/>
      <c r="T40" s="1495"/>
      <c r="U40" s="1495"/>
      <c r="V40" s="1495"/>
      <c r="W40" s="1495"/>
      <c r="X40" s="672"/>
      <c r="Y40" s="672"/>
      <c r="Z40" s="672"/>
    </row>
    <row r="41" spans="1:257" s="470" customFormat="1" ht="47.25" customHeight="1" x14ac:dyDescent="0.2">
      <c r="A41" s="77"/>
      <c r="B41" s="839" t="s">
        <v>1721</v>
      </c>
      <c r="C41" s="1265">
        <v>2467.15562</v>
      </c>
      <c r="D41" s="1241"/>
      <c r="E41" s="1497"/>
      <c r="F41" s="1498"/>
      <c r="G41" s="841"/>
      <c r="H41" s="842"/>
      <c r="I41" s="706"/>
      <c r="J41" s="706"/>
      <c r="K41" s="844"/>
      <c r="L41" s="845"/>
      <c r="M41" s="707"/>
      <c r="N41" s="708"/>
      <c r="O41" s="707"/>
      <c r="P41" s="1495"/>
      <c r="Q41" s="1495"/>
      <c r="R41" s="1495"/>
      <c r="S41" s="1495"/>
      <c r="T41" s="1495"/>
      <c r="U41" s="1495"/>
      <c r="V41" s="1495"/>
      <c r="W41" s="1495"/>
      <c r="X41" s="672"/>
      <c r="Y41" s="672"/>
      <c r="Z41" s="672"/>
    </row>
    <row r="42" spans="1:257" s="470" customFormat="1" ht="48.75" customHeight="1" x14ac:dyDescent="0.2">
      <c r="A42" s="77"/>
      <c r="B42" s="673" t="s">
        <v>1066</v>
      </c>
      <c r="C42" s="1265">
        <v>7644.0411000000004</v>
      </c>
      <c r="D42" s="1241"/>
      <c r="E42" s="1497"/>
      <c r="F42" s="1498"/>
      <c r="G42" s="855"/>
      <c r="H42" s="856"/>
      <c r="I42" s="857"/>
      <c r="J42" s="856"/>
      <c r="K42" s="706"/>
      <c r="L42" s="858"/>
      <c r="M42" s="707"/>
      <c r="N42" s="708"/>
      <c r="O42" s="707"/>
      <c r="P42" s="1495"/>
      <c r="Q42" s="1495"/>
      <c r="R42" s="1495"/>
      <c r="S42" s="1495"/>
      <c r="T42" s="1495"/>
      <c r="U42" s="1495"/>
      <c r="V42" s="1495"/>
      <c r="W42" s="1495"/>
      <c r="X42" s="672"/>
      <c r="Y42" s="672"/>
      <c r="Z42" s="672"/>
    </row>
    <row r="43" spans="1:257" s="470" customFormat="1" ht="36" x14ac:dyDescent="0.2">
      <c r="A43" s="77"/>
      <c r="B43" s="673" t="s">
        <v>1722</v>
      </c>
      <c r="C43" s="1265">
        <v>23592.183489999999</v>
      </c>
      <c r="D43" s="1241"/>
      <c r="E43" s="1497"/>
      <c r="F43" s="1498"/>
      <c r="G43" s="841"/>
      <c r="H43" s="842"/>
      <c r="I43" s="841"/>
      <c r="J43" s="842"/>
      <c r="K43" s="706"/>
      <c r="L43" s="706"/>
      <c r="M43" s="707"/>
      <c r="N43" s="708"/>
      <c r="O43" s="707"/>
      <c r="P43" s="1495"/>
      <c r="Q43" s="1495"/>
      <c r="R43" s="1495"/>
      <c r="S43" s="1495"/>
      <c r="T43" s="1495"/>
      <c r="U43" s="1495"/>
      <c r="V43" s="1495"/>
      <c r="W43" s="1495"/>
      <c r="X43" s="672"/>
      <c r="Y43" s="672"/>
      <c r="Z43" s="672"/>
    </row>
    <row r="44" spans="1:257" s="470" customFormat="1" ht="41.25" customHeight="1" x14ac:dyDescent="0.2">
      <c r="A44" s="77"/>
      <c r="B44" s="673" t="s">
        <v>1723</v>
      </c>
      <c r="C44" s="1265">
        <v>2135.8701500000002</v>
      </c>
      <c r="D44" s="1241"/>
      <c r="E44" s="1497"/>
      <c r="F44" s="1498"/>
      <c r="G44" s="841"/>
      <c r="H44" s="842"/>
      <c r="I44" s="706"/>
      <c r="J44" s="859"/>
      <c r="K44" s="706"/>
      <c r="L44" s="706"/>
      <c r="M44" s="707"/>
      <c r="N44" s="708"/>
      <c r="O44" s="707"/>
      <c r="P44" s="1495"/>
      <c r="Q44" s="1495"/>
      <c r="R44" s="1495"/>
      <c r="S44" s="1495"/>
      <c r="T44" s="1495"/>
      <c r="U44" s="1495"/>
      <c r="V44" s="1495"/>
      <c r="W44" s="1495"/>
      <c r="X44" s="672"/>
      <c r="Y44" s="672"/>
      <c r="Z44" s="672"/>
    </row>
    <row r="45" spans="1:257" s="470" customFormat="1" ht="15.75" x14ac:dyDescent="0.2">
      <c r="A45" s="77"/>
      <c r="B45" s="673" t="s">
        <v>1067</v>
      </c>
      <c r="C45" s="1265">
        <v>540000</v>
      </c>
      <c r="D45" s="1241"/>
      <c r="E45" s="1487"/>
      <c r="F45" s="1498"/>
      <c r="G45" s="841"/>
      <c r="H45" s="842"/>
      <c r="I45" s="841"/>
      <c r="J45" s="842"/>
      <c r="K45" s="706"/>
      <c r="L45" s="706"/>
      <c r="M45" s="707"/>
      <c r="N45" s="708"/>
      <c r="O45" s="707"/>
      <c r="P45" s="1495"/>
      <c r="Q45" s="1495"/>
      <c r="R45" s="1495"/>
      <c r="S45" s="1495"/>
      <c r="T45" s="1495"/>
      <c r="U45" s="1495"/>
      <c r="V45" s="1495"/>
      <c r="W45" s="1495"/>
      <c r="X45" s="672"/>
      <c r="Y45" s="672"/>
      <c r="Z45" s="672"/>
    </row>
    <row r="46" spans="1:257" s="470" customFormat="1" ht="27.75" customHeight="1" x14ac:dyDescent="0.2">
      <c r="A46" s="77"/>
      <c r="B46" s="673" t="s">
        <v>1068</v>
      </c>
      <c r="C46" s="1266">
        <v>11698.37124</v>
      </c>
      <c r="D46" s="1241"/>
      <c r="E46" s="1499"/>
      <c r="F46" s="1498"/>
      <c r="G46" s="841"/>
      <c r="H46" s="842"/>
      <c r="I46" s="841"/>
      <c r="J46" s="842"/>
      <c r="K46" s="706"/>
      <c r="L46" s="706"/>
      <c r="M46" s="707"/>
      <c r="N46" s="708"/>
      <c r="O46" s="707"/>
      <c r="P46" s="1495"/>
      <c r="Q46" s="1495"/>
      <c r="R46" s="1495"/>
      <c r="S46" s="1495"/>
      <c r="T46" s="1495"/>
      <c r="U46" s="1495"/>
      <c r="V46" s="1495"/>
      <c r="W46" s="1495"/>
      <c r="X46" s="672"/>
      <c r="Y46" s="672"/>
      <c r="Z46" s="672"/>
    </row>
    <row r="47" spans="1:257" s="470" customFormat="1" ht="36" x14ac:dyDescent="0.2">
      <c r="A47" s="77"/>
      <c r="B47" s="673" t="s">
        <v>1724</v>
      </c>
      <c r="C47" s="1266">
        <v>16964.18736</v>
      </c>
      <c r="D47" s="1241"/>
      <c r="E47" s="1499"/>
      <c r="F47" s="1498"/>
      <c r="G47" s="841"/>
      <c r="H47" s="842"/>
      <c r="I47" s="841"/>
      <c r="J47" s="842"/>
      <c r="K47" s="706"/>
      <c r="L47" s="706"/>
      <c r="M47" s="707"/>
      <c r="N47" s="708"/>
      <c r="O47" s="707"/>
      <c r="P47" s="1495"/>
      <c r="Q47" s="1495"/>
      <c r="R47" s="1495"/>
      <c r="S47" s="1495"/>
      <c r="T47" s="1495"/>
      <c r="U47" s="1495"/>
      <c r="V47" s="1495"/>
      <c r="W47" s="1495"/>
      <c r="X47" s="672"/>
      <c r="Y47" s="672"/>
      <c r="Z47" s="672"/>
    </row>
    <row r="48" spans="1:257" s="470" customFormat="1" ht="48" x14ac:dyDescent="0.2">
      <c r="A48" s="77"/>
      <c r="B48" s="673" t="s">
        <v>1069</v>
      </c>
      <c r="C48" s="1266">
        <v>32833.492359999997</v>
      </c>
      <c r="D48" s="1241"/>
      <c r="E48" s="1499"/>
      <c r="F48" s="1498"/>
      <c r="G48" s="841"/>
      <c r="H48" s="842"/>
      <c r="I48" s="841"/>
      <c r="J48" s="842"/>
      <c r="K48" s="706"/>
      <c r="L48" s="860"/>
      <c r="M48" s="707"/>
      <c r="N48" s="708"/>
      <c r="O48" s="707"/>
      <c r="P48" s="1495"/>
      <c r="Q48" s="1495"/>
      <c r="R48" s="1495"/>
      <c r="S48" s="1495"/>
      <c r="T48" s="1495"/>
      <c r="U48" s="1495"/>
      <c r="V48" s="1495"/>
      <c r="W48" s="1495"/>
      <c r="X48" s="672"/>
      <c r="Y48" s="672"/>
      <c r="Z48" s="672"/>
    </row>
    <row r="49" spans="1:257" s="470" customFormat="1" ht="36" x14ac:dyDescent="0.2">
      <c r="A49" s="77"/>
      <c r="B49" s="673" t="s">
        <v>1070</v>
      </c>
      <c r="C49" s="1266">
        <v>8954.8210500000005</v>
      </c>
      <c r="D49" s="1241"/>
      <c r="E49" s="1499"/>
      <c r="F49" s="1498"/>
      <c r="G49" s="841"/>
      <c r="H49" s="842"/>
      <c r="I49" s="841"/>
      <c r="J49" s="842"/>
      <c r="K49" s="706"/>
      <c r="L49" s="706"/>
      <c r="M49" s="707"/>
      <c r="N49" s="708"/>
      <c r="O49" s="707"/>
      <c r="P49" s="1495"/>
      <c r="Q49" s="1495"/>
      <c r="R49" s="1495"/>
      <c r="S49" s="1495"/>
      <c r="T49" s="1495"/>
      <c r="U49" s="1495"/>
      <c r="V49" s="1495"/>
      <c r="W49" s="1495"/>
      <c r="X49" s="672"/>
      <c r="Y49" s="672"/>
      <c r="Z49" s="672"/>
    </row>
    <row r="50" spans="1:257" s="470" customFormat="1" ht="36" x14ac:dyDescent="0.2">
      <c r="A50" s="639"/>
      <c r="B50" s="675" t="s">
        <v>1071</v>
      </c>
      <c r="C50" s="1263">
        <f>5304.918+10410.005</f>
        <v>15714.922999999999</v>
      </c>
      <c r="D50" s="1239"/>
      <c r="E50" s="1500"/>
      <c r="F50" s="701"/>
      <c r="G50" s="854"/>
      <c r="H50" s="706"/>
      <c r="I50" s="706"/>
      <c r="J50" s="706"/>
      <c r="K50" s="706"/>
      <c r="L50" s="706"/>
      <c r="M50" s="706"/>
      <c r="N50" s="706"/>
      <c r="O50" s="706"/>
      <c r="P50" s="701"/>
      <c r="Q50" s="701"/>
      <c r="R50" s="701"/>
      <c r="S50" s="701"/>
      <c r="T50" s="701"/>
      <c r="U50" s="701"/>
      <c r="V50" s="701"/>
      <c r="W50" s="701"/>
    </row>
    <row r="51" spans="1:257" s="470" customFormat="1" ht="34.5" customHeight="1" x14ac:dyDescent="0.2">
      <c r="A51" s="77"/>
      <c r="B51" s="673" t="s">
        <v>1072</v>
      </c>
      <c r="C51" s="1263">
        <v>4259.6229999999996</v>
      </c>
      <c r="D51" s="1239"/>
      <c r="E51" s="1499"/>
      <c r="F51" s="1498"/>
      <c r="G51" s="854"/>
      <c r="H51" s="706"/>
      <c r="I51" s="706"/>
      <c r="J51" s="706"/>
      <c r="K51" s="706"/>
      <c r="L51" s="706"/>
      <c r="M51" s="707"/>
      <c r="N51" s="708"/>
      <c r="O51" s="707"/>
      <c r="P51" s="1495"/>
      <c r="Q51" s="1495"/>
      <c r="R51" s="1495"/>
      <c r="S51" s="1495"/>
      <c r="T51" s="1495"/>
      <c r="U51" s="1495"/>
      <c r="V51" s="1495"/>
      <c r="W51" s="1495"/>
      <c r="X51" s="672"/>
      <c r="Y51" s="672"/>
      <c r="Z51" s="672"/>
    </row>
    <row r="52" spans="1:257" s="470" customFormat="1" ht="34.5" customHeight="1" x14ac:dyDescent="0.25">
      <c r="A52" s="77"/>
      <c r="B52" s="673" t="s">
        <v>1073</v>
      </c>
      <c r="C52" s="1263">
        <v>20050</v>
      </c>
      <c r="D52" s="1239"/>
      <c r="E52" s="1499"/>
      <c r="F52" s="1498"/>
      <c r="G52" s="854"/>
      <c r="H52" s="861"/>
      <c r="I52" s="706"/>
      <c r="J52" s="706"/>
      <c r="K52" s="706"/>
      <c r="L52" s="706"/>
      <c r="M52" s="707"/>
      <c r="N52" s="708"/>
      <c r="O52" s="707"/>
      <c r="P52" s="1495"/>
      <c r="Q52" s="1495"/>
      <c r="R52" s="1495"/>
      <c r="S52" s="1495"/>
      <c r="T52" s="1495"/>
      <c r="U52" s="1495"/>
      <c r="V52" s="1495"/>
      <c r="W52" s="1495"/>
      <c r="X52" s="672"/>
      <c r="Y52" s="672"/>
      <c r="Z52" s="672"/>
    </row>
    <row r="53" spans="1:257" s="470" customFormat="1" ht="24" x14ac:dyDescent="0.2">
      <c r="A53" s="639"/>
      <c r="B53" s="675" t="s">
        <v>1074</v>
      </c>
      <c r="C53" s="1263">
        <v>201.69299999999998</v>
      </c>
      <c r="D53" s="1239"/>
      <c r="E53" s="1499"/>
      <c r="F53" s="1498"/>
      <c r="G53" s="854"/>
      <c r="H53" s="706"/>
      <c r="I53" s="706"/>
      <c r="J53" s="706"/>
      <c r="K53" s="706"/>
      <c r="L53" s="849"/>
      <c r="M53" s="706"/>
      <c r="N53" s="706"/>
      <c r="O53" s="706"/>
      <c r="P53" s="701"/>
      <c r="Q53" s="701"/>
      <c r="R53" s="701"/>
      <c r="S53" s="701"/>
      <c r="T53" s="701"/>
      <c r="U53" s="701"/>
      <c r="V53" s="701"/>
      <c r="W53" s="701"/>
    </row>
    <row r="54" spans="1:257" s="470" customFormat="1" ht="36" x14ac:dyDescent="0.2">
      <c r="A54" s="639"/>
      <c r="B54" s="676" t="s">
        <v>1075</v>
      </c>
      <c r="C54" s="1263">
        <f>500+941.68</f>
        <v>1441.6799999999998</v>
      </c>
      <c r="D54" s="1239"/>
      <c r="E54" s="1500"/>
      <c r="F54" s="701"/>
      <c r="G54" s="841"/>
      <c r="H54" s="862"/>
      <c r="I54" s="841"/>
      <c r="J54" s="862"/>
      <c r="K54" s="706"/>
      <c r="L54" s="849"/>
      <c r="M54" s="706"/>
      <c r="N54" s="706"/>
      <c r="O54" s="706"/>
      <c r="P54" s="701"/>
      <c r="Q54" s="701"/>
      <c r="R54" s="701"/>
      <c r="S54" s="701"/>
      <c r="T54" s="701"/>
      <c r="U54" s="701"/>
      <c r="V54" s="701"/>
      <c r="W54" s="701"/>
    </row>
    <row r="55" spans="1:257" s="470" customFormat="1" ht="34.5" customHeight="1" x14ac:dyDescent="0.2">
      <c r="A55" s="639"/>
      <c r="B55" s="675" t="s">
        <v>1729</v>
      </c>
      <c r="C55" s="1263">
        <v>25629</v>
      </c>
      <c r="D55" s="1239"/>
      <c r="E55" s="1499"/>
      <c r="F55" s="1498"/>
      <c r="G55" s="854"/>
      <c r="H55" s="706"/>
      <c r="I55" s="706"/>
      <c r="J55" s="706"/>
      <c r="K55" s="706"/>
      <c r="L55" s="849"/>
      <c r="M55" s="706"/>
      <c r="N55" s="706"/>
      <c r="O55" s="706"/>
      <c r="P55" s="701"/>
      <c r="Q55" s="701"/>
      <c r="R55" s="701"/>
      <c r="S55" s="701"/>
      <c r="T55" s="701"/>
      <c r="U55" s="701"/>
      <c r="V55" s="701"/>
      <c r="W55" s="701"/>
    </row>
    <row r="56" spans="1:257" s="470" customFormat="1" ht="27.75" customHeight="1" x14ac:dyDescent="0.2">
      <c r="A56" s="77"/>
      <c r="B56" s="674" t="s">
        <v>1725</v>
      </c>
      <c r="C56" s="1263">
        <v>9487.73</v>
      </c>
      <c r="D56" s="1239"/>
      <c r="E56" s="1499"/>
      <c r="F56" s="1498"/>
      <c r="G56" s="863"/>
      <c r="H56" s="706"/>
      <c r="I56" s="706"/>
      <c r="J56" s="706"/>
      <c r="K56" s="706"/>
      <c r="L56" s="706"/>
      <c r="M56" s="706"/>
      <c r="N56" s="706"/>
      <c r="O56" s="706"/>
      <c r="P56" s="701"/>
      <c r="Q56" s="701"/>
      <c r="R56" s="701"/>
      <c r="S56" s="701"/>
      <c r="T56" s="701"/>
      <c r="U56" s="701"/>
      <c r="V56" s="701"/>
      <c r="W56" s="701"/>
    </row>
    <row r="57" spans="1:257" s="470" customFormat="1" ht="34.5" customHeight="1" x14ac:dyDescent="0.2">
      <c r="A57" s="77"/>
      <c r="B57" s="674" t="s">
        <v>1076</v>
      </c>
      <c r="C57" s="1263">
        <v>6896.8932100000002</v>
      </c>
      <c r="D57" s="1239"/>
      <c r="E57" s="1499"/>
      <c r="F57" s="1498"/>
      <c r="G57" s="854"/>
      <c r="H57" s="860"/>
      <c r="I57" s="706"/>
      <c r="J57" s="706"/>
      <c r="K57" s="706"/>
      <c r="L57" s="860"/>
      <c r="M57" s="706"/>
      <c r="N57" s="706"/>
      <c r="O57" s="706"/>
      <c r="P57" s="701"/>
      <c r="Q57" s="701"/>
      <c r="R57" s="701"/>
      <c r="S57" s="701"/>
      <c r="T57" s="701"/>
      <c r="U57" s="701"/>
      <c r="V57" s="701"/>
      <c r="W57" s="701"/>
    </row>
    <row r="58" spans="1:257" s="470" customFormat="1" ht="27" customHeight="1" x14ac:dyDescent="0.2">
      <c r="A58" s="682"/>
      <c r="B58" s="1285"/>
      <c r="C58" s="1286"/>
      <c r="D58" s="1239"/>
      <c r="E58" s="1499"/>
      <c r="F58" s="1498"/>
      <c r="G58" s="854"/>
      <c r="H58" s="860"/>
      <c r="I58" s="706"/>
      <c r="J58" s="706"/>
      <c r="K58" s="706"/>
      <c r="L58" s="860"/>
      <c r="M58" s="706"/>
      <c r="N58" s="706"/>
      <c r="O58" s="706"/>
      <c r="P58" s="701"/>
      <c r="Q58" s="701"/>
      <c r="R58" s="701"/>
      <c r="S58" s="701"/>
      <c r="T58" s="701"/>
      <c r="U58" s="701"/>
      <c r="V58" s="701"/>
      <c r="W58" s="701"/>
    </row>
    <row r="59" spans="1:257" s="469" customFormat="1" ht="16.5" thickBot="1" x14ac:dyDescent="0.25">
      <c r="A59" s="682"/>
      <c r="B59" s="683"/>
      <c r="C59" s="727" t="s">
        <v>1205</v>
      </c>
      <c r="D59" s="1242"/>
      <c r="E59" s="705"/>
      <c r="F59" s="706"/>
      <c r="G59" s="706"/>
      <c r="H59" s="706"/>
      <c r="I59" s="706"/>
      <c r="J59" s="706"/>
      <c r="K59" s="706"/>
      <c r="L59" s="707"/>
      <c r="M59" s="708"/>
      <c r="N59" s="707"/>
      <c r="O59" s="707"/>
      <c r="P59" s="707"/>
      <c r="Q59" s="707"/>
      <c r="R59" s="707"/>
      <c r="S59" s="707"/>
      <c r="T59" s="707"/>
      <c r="U59" s="707"/>
      <c r="V59" s="707"/>
      <c r="W59" s="707"/>
      <c r="X59" s="685"/>
      <c r="Y59" s="685"/>
      <c r="Z59" s="684"/>
      <c r="AA59" s="684"/>
      <c r="AB59" s="684"/>
      <c r="AC59" s="684"/>
      <c r="AD59" s="684"/>
      <c r="AE59" s="684"/>
      <c r="AF59" s="684"/>
      <c r="AG59" s="684"/>
      <c r="AH59" s="684"/>
      <c r="AI59" s="684"/>
      <c r="AJ59" s="684"/>
      <c r="AK59" s="684"/>
      <c r="AL59" s="684"/>
      <c r="AM59" s="684"/>
      <c r="AN59" s="684"/>
      <c r="AO59" s="684"/>
      <c r="AP59" s="684"/>
      <c r="AQ59" s="684"/>
      <c r="AR59" s="684"/>
      <c r="AS59" s="684"/>
      <c r="AT59" s="684"/>
      <c r="AU59" s="684"/>
      <c r="AV59" s="684"/>
      <c r="AW59" s="684"/>
      <c r="AX59" s="684"/>
      <c r="AY59" s="684"/>
      <c r="AZ59" s="684"/>
      <c r="BA59" s="684"/>
      <c r="BB59" s="684"/>
      <c r="BC59" s="684"/>
      <c r="BD59" s="684"/>
      <c r="BE59" s="684"/>
      <c r="BF59" s="684"/>
      <c r="BG59" s="684"/>
      <c r="BH59" s="684"/>
      <c r="BI59" s="684"/>
      <c r="BJ59" s="684"/>
      <c r="BK59" s="684"/>
      <c r="BL59" s="684"/>
      <c r="BM59" s="684"/>
      <c r="BN59" s="684"/>
      <c r="BO59" s="684"/>
      <c r="BP59" s="684"/>
      <c r="BQ59" s="684"/>
      <c r="BR59" s="684"/>
      <c r="BS59" s="684"/>
      <c r="BT59" s="684"/>
      <c r="BU59" s="684"/>
      <c r="BV59" s="684"/>
      <c r="BW59" s="684"/>
      <c r="BX59" s="684"/>
      <c r="BY59" s="684"/>
      <c r="BZ59" s="684"/>
      <c r="CA59" s="684"/>
      <c r="CB59" s="684"/>
      <c r="CC59" s="684"/>
      <c r="CD59" s="684"/>
      <c r="CE59" s="684"/>
      <c r="CF59" s="684"/>
      <c r="CG59" s="684"/>
      <c r="CH59" s="684"/>
      <c r="CI59" s="684"/>
      <c r="CJ59" s="684"/>
      <c r="CK59" s="684"/>
      <c r="CL59" s="684"/>
      <c r="CM59" s="684"/>
      <c r="CN59" s="684"/>
      <c r="CO59" s="684"/>
      <c r="CP59" s="684"/>
      <c r="CQ59" s="684"/>
      <c r="CR59" s="684"/>
      <c r="CS59" s="684"/>
      <c r="CT59" s="684"/>
      <c r="CU59" s="684"/>
      <c r="CV59" s="684"/>
      <c r="CW59" s="684"/>
      <c r="CX59" s="684"/>
      <c r="CY59" s="684"/>
      <c r="CZ59" s="684"/>
      <c r="DA59" s="684"/>
      <c r="DB59" s="684"/>
      <c r="DC59" s="684"/>
      <c r="DD59" s="684"/>
      <c r="DE59" s="684"/>
      <c r="DF59" s="684"/>
      <c r="DG59" s="684"/>
      <c r="DH59" s="684"/>
      <c r="DI59" s="684"/>
      <c r="DJ59" s="684"/>
      <c r="DK59" s="684"/>
      <c r="DL59" s="684"/>
      <c r="DM59" s="684"/>
      <c r="DN59" s="684"/>
      <c r="DO59" s="684"/>
      <c r="DP59" s="684"/>
      <c r="DQ59" s="684"/>
      <c r="DR59" s="684"/>
      <c r="DS59" s="684"/>
      <c r="DT59" s="684"/>
      <c r="DU59" s="684"/>
      <c r="DV59" s="684"/>
      <c r="DW59" s="684"/>
      <c r="DX59" s="684"/>
      <c r="DY59" s="684"/>
      <c r="DZ59" s="684"/>
      <c r="EA59" s="684"/>
      <c r="EB59" s="684"/>
      <c r="EC59" s="684"/>
      <c r="ED59" s="684"/>
      <c r="EE59" s="684"/>
      <c r="EF59" s="684"/>
      <c r="EG59" s="684"/>
      <c r="EH59" s="684"/>
      <c r="EI59" s="684"/>
      <c r="EJ59" s="684"/>
      <c r="EK59" s="684"/>
      <c r="EL59" s="684"/>
      <c r="EM59" s="684"/>
      <c r="EN59" s="684"/>
      <c r="EO59" s="684"/>
      <c r="EP59" s="684"/>
      <c r="EQ59" s="684"/>
      <c r="ER59" s="684"/>
      <c r="ES59" s="684"/>
      <c r="ET59" s="684"/>
      <c r="EU59" s="684"/>
      <c r="EV59" s="684"/>
      <c r="EW59" s="684"/>
      <c r="EX59" s="684"/>
      <c r="EY59" s="684"/>
      <c r="EZ59" s="684"/>
      <c r="FA59" s="684"/>
      <c r="FB59" s="684"/>
      <c r="FC59" s="684"/>
      <c r="FD59" s="684"/>
      <c r="FE59" s="684"/>
      <c r="FF59" s="684"/>
      <c r="FG59" s="684"/>
      <c r="FH59" s="684"/>
      <c r="FI59" s="684"/>
      <c r="FJ59" s="684"/>
      <c r="FK59" s="684"/>
      <c r="FL59" s="684"/>
      <c r="FM59" s="684"/>
      <c r="FN59" s="684"/>
      <c r="FO59" s="684"/>
      <c r="FP59" s="684"/>
      <c r="FQ59" s="684"/>
      <c r="FR59" s="684"/>
      <c r="FS59" s="684"/>
      <c r="FT59" s="684"/>
      <c r="FU59" s="684"/>
      <c r="FV59" s="684"/>
      <c r="FW59" s="684"/>
      <c r="FX59" s="684"/>
      <c r="FY59" s="684"/>
      <c r="FZ59" s="684"/>
      <c r="GA59" s="684"/>
      <c r="GB59" s="684"/>
      <c r="GC59" s="684"/>
      <c r="GD59" s="684"/>
      <c r="GE59" s="684"/>
      <c r="GF59" s="684"/>
      <c r="GG59" s="684"/>
      <c r="GH59" s="684"/>
      <c r="GI59" s="684"/>
      <c r="GJ59" s="684"/>
      <c r="GK59" s="684"/>
      <c r="GL59" s="684"/>
      <c r="GM59" s="684"/>
      <c r="GN59" s="684"/>
      <c r="GO59" s="684"/>
      <c r="GP59" s="684"/>
      <c r="GQ59" s="684"/>
      <c r="GR59" s="684"/>
      <c r="GS59" s="684"/>
      <c r="GT59" s="684"/>
      <c r="GU59" s="684"/>
      <c r="GV59" s="684"/>
      <c r="GW59" s="684"/>
      <c r="GX59" s="684"/>
      <c r="GY59" s="684"/>
      <c r="GZ59" s="684"/>
      <c r="HA59" s="684"/>
      <c r="HB59" s="684"/>
      <c r="HC59" s="684"/>
      <c r="HD59" s="684"/>
      <c r="HE59" s="684"/>
      <c r="HF59" s="684"/>
      <c r="HG59" s="684"/>
      <c r="HH59" s="684"/>
      <c r="HI59" s="684"/>
      <c r="HJ59" s="684"/>
      <c r="HK59" s="684"/>
      <c r="HL59" s="684"/>
      <c r="HM59" s="684"/>
      <c r="HN59" s="684"/>
      <c r="HO59" s="684"/>
      <c r="HP59" s="684"/>
      <c r="HQ59" s="684"/>
      <c r="HR59" s="684"/>
      <c r="HS59" s="684"/>
      <c r="HT59" s="684"/>
      <c r="HU59" s="684"/>
      <c r="HV59" s="684"/>
      <c r="HW59" s="684"/>
      <c r="HX59" s="684"/>
      <c r="HY59" s="684"/>
      <c r="HZ59" s="684"/>
      <c r="IA59" s="684"/>
      <c r="IB59" s="684"/>
      <c r="IC59" s="684"/>
      <c r="ID59" s="684"/>
      <c r="IE59" s="684"/>
      <c r="IF59" s="684"/>
      <c r="IG59" s="684"/>
      <c r="IH59" s="684"/>
      <c r="II59" s="684"/>
      <c r="IJ59" s="684"/>
      <c r="IK59" s="684"/>
      <c r="IL59" s="684"/>
      <c r="IM59" s="684"/>
      <c r="IN59" s="684"/>
      <c r="IO59" s="684"/>
      <c r="IP59" s="684"/>
      <c r="IQ59" s="684"/>
      <c r="IR59" s="684"/>
      <c r="IS59" s="684"/>
      <c r="IT59" s="684"/>
      <c r="IU59" s="684"/>
      <c r="IV59" s="684"/>
      <c r="IW59" s="684"/>
    </row>
    <row r="60" spans="1:257" s="469" customFormat="1" ht="16.5" customHeight="1" thickBot="1" x14ac:dyDescent="0.25">
      <c r="A60" s="2123" t="s">
        <v>1057</v>
      </c>
      <c r="B60" s="2124"/>
      <c r="C60" s="869" t="s">
        <v>762</v>
      </c>
      <c r="D60" s="1234"/>
      <c r="E60" s="704"/>
      <c r="F60" s="701"/>
      <c r="G60" s="701"/>
      <c r="H60" s="701"/>
      <c r="I60" s="701"/>
      <c r="J60" s="701"/>
      <c r="K60" s="703"/>
      <c r="L60" s="701"/>
      <c r="M60" s="701"/>
      <c r="N60" s="701"/>
      <c r="O60" s="701"/>
      <c r="P60" s="701"/>
      <c r="Q60" s="701"/>
      <c r="R60" s="701"/>
      <c r="S60" s="701"/>
      <c r="T60" s="701"/>
      <c r="U60" s="701"/>
      <c r="V60" s="701"/>
      <c r="W60" s="701"/>
      <c r="X60" s="470"/>
      <c r="Y60" s="470"/>
      <c r="Z60" s="470"/>
      <c r="AA60" s="470"/>
      <c r="AB60" s="470"/>
      <c r="AC60" s="470"/>
      <c r="AD60" s="470"/>
      <c r="AE60" s="470"/>
      <c r="AF60" s="470"/>
      <c r="AG60" s="470"/>
      <c r="AH60" s="470"/>
      <c r="AI60" s="470"/>
      <c r="AJ60" s="470"/>
      <c r="AK60" s="470"/>
      <c r="AL60" s="470"/>
      <c r="AM60" s="470"/>
      <c r="AN60" s="470"/>
      <c r="AO60" s="470"/>
      <c r="AP60" s="470"/>
      <c r="AQ60" s="470"/>
      <c r="AR60" s="470"/>
      <c r="AS60" s="470"/>
      <c r="AT60" s="470"/>
      <c r="AU60" s="470"/>
      <c r="AV60" s="470"/>
      <c r="AW60" s="470"/>
      <c r="AX60" s="470"/>
      <c r="AY60" s="470"/>
      <c r="AZ60" s="470"/>
      <c r="BA60" s="470"/>
      <c r="BB60" s="470"/>
      <c r="BC60" s="470"/>
      <c r="BD60" s="470"/>
      <c r="BE60" s="470"/>
      <c r="BF60" s="470"/>
      <c r="BG60" s="470"/>
      <c r="BH60" s="470"/>
      <c r="BI60" s="470"/>
      <c r="BJ60" s="470"/>
      <c r="BK60" s="470"/>
      <c r="BL60" s="470"/>
      <c r="BM60" s="470"/>
      <c r="BN60" s="470"/>
      <c r="BO60" s="470"/>
      <c r="BP60" s="470"/>
      <c r="BQ60" s="470"/>
      <c r="BR60" s="470"/>
      <c r="BS60" s="470"/>
      <c r="BT60" s="470"/>
      <c r="BU60" s="470"/>
      <c r="BV60" s="470"/>
      <c r="BW60" s="470"/>
      <c r="BX60" s="470"/>
      <c r="BY60" s="470"/>
      <c r="BZ60" s="470"/>
      <c r="CA60" s="470"/>
      <c r="CB60" s="470"/>
      <c r="CC60" s="470"/>
      <c r="CD60" s="470"/>
      <c r="CE60" s="470"/>
      <c r="CF60" s="470"/>
      <c r="CG60" s="470"/>
      <c r="CH60" s="470"/>
      <c r="CI60" s="470"/>
      <c r="CJ60" s="470"/>
      <c r="CK60" s="470"/>
      <c r="CL60" s="470"/>
      <c r="CM60" s="470"/>
      <c r="CN60" s="470"/>
      <c r="CO60" s="470"/>
      <c r="CP60" s="470"/>
      <c r="CQ60" s="470"/>
      <c r="CR60" s="470"/>
      <c r="CS60" s="470"/>
      <c r="CT60" s="470"/>
      <c r="CU60" s="470"/>
      <c r="CV60" s="470"/>
      <c r="CW60" s="470"/>
      <c r="CX60" s="470"/>
      <c r="CY60" s="470"/>
      <c r="CZ60" s="470"/>
      <c r="DA60" s="470"/>
      <c r="DB60" s="470"/>
      <c r="DC60" s="470"/>
      <c r="DD60" s="470"/>
      <c r="DE60" s="470"/>
      <c r="DF60" s="470"/>
      <c r="DG60" s="470"/>
      <c r="DH60" s="470"/>
      <c r="DI60" s="470"/>
      <c r="DJ60" s="470"/>
      <c r="DK60" s="470"/>
      <c r="DL60" s="470"/>
      <c r="DM60" s="470"/>
      <c r="DN60" s="470"/>
      <c r="DO60" s="470"/>
      <c r="DP60" s="470"/>
      <c r="DQ60" s="470"/>
      <c r="DR60" s="470"/>
      <c r="DS60" s="470"/>
      <c r="DT60" s="470"/>
      <c r="DU60" s="470"/>
      <c r="DV60" s="470"/>
      <c r="DW60" s="470"/>
      <c r="DX60" s="470"/>
      <c r="DY60" s="470"/>
      <c r="DZ60" s="470"/>
      <c r="EA60" s="470"/>
      <c r="EB60" s="470"/>
      <c r="EC60" s="470"/>
      <c r="ED60" s="470"/>
      <c r="EE60" s="470"/>
      <c r="EF60" s="470"/>
      <c r="EG60" s="470"/>
      <c r="EH60" s="470"/>
      <c r="EI60" s="470"/>
      <c r="EJ60" s="470"/>
      <c r="EK60" s="470"/>
      <c r="EL60" s="470"/>
      <c r="EM60" s="470"/>
      <c r="EN60" s="470"/>
      <c r="EO60" s="470"/>
      <c r="EP60" s="470"/>
      <c r="EQ60" s="470"/>
      <c r="ER60" s="470"/>
      <c r="ES60" s="470"/>
      <c r="ET60" s="470"/>
      <c r="EU60" s="470"/>
      <c r="EV60" s="470"/>
      <c r="EW60" s="470"/>
      <c r="EX60" s="470"/>
      <c r="EY60" s="470"/>
      <c r="EZ60" s="470"/>
      <c r="FA60" s="470"/>
      <c r="FB60" s="470"/>
      <c r="FC60" s="470"/>
      <c r="FD60" s="470"/>
      <c r="FE60" s="470"/>
      <c r="FF60" s="470"/>
      <c r="FG60" s="470"/>
      <c r="FH60" s="470"/>
      <c r="FI60" s="470"/>
      <c r="FJ60" s="470"/>
      <c r="FK60" s="470"/>
      <c r="FL60" s="470"/>
      <c r="FM60" s="470"/>
      <c r="FN60" s="470"/>
      <c r="FO60" s="470"/>
      <c r="FP60" s="470"/>
      <c r="FQ60" s="470"/>
      <c r="FR60" s="470"/>
      <c r="FS60" s="470"/>
      <c r="FT60" s="470"/>
      <c r="FU60" s="470"/>
      <c r="FV60" s="470"/>
      <c r="FW60" s="470"/>
      <c r="FX60" s="470"/>
      <c r="FY60" s="470"/>
      <c r="FZ60" s="470"/>
      <c r="GA60" s="470"/>
      <c r="GB60" s="470"/>
      <c r="GC60" s="470"/>
      <c r="GD60" s="470"/>
      <c r="GE60" s="470"/>
      <c r="GF60" s="470"/>
      <c r="GG60" s="470"/>
      <c r="GH60" s="470"/>
      <c r="GI60" s="470"/>
      <c r="GJ60" s="470"/>
      <c r="GK60" s="470"/>
      <c r="GL60" s="470"/>
      <c r="GM60" s="470"/>
      <c r="GN60" s="470"/>
      <c r="GO60" s="470"/>
      <c r="GP60" s="470"/>
      <c r="GQ60" s="470"/>
      <c r="GR60" s="470"/>
      <c r="GS60" s="470"/>
      <c r="GT60" s="470"/>
      <c r="GU60" s="470"/>
      <c r="GV60" s="470"/>
      <c r="GW60" s="470"/>
      <c r="GX60" s="470"/>
      <c r="GY60" s="470"/>
      <c r="GZ60" s="470"/>
      <c r="HA60" s="470"/>
      <c r="HB60" s="470"/>
      <c r="HC60" s="470"/>
      <c r="HD60" s="470"/>
      <c r="HE60" s="470"/>
      <c r="HF60" s="470"/>
      <c r="HG60" s="470"/>
      <c r="HH60" s="470"/>
      <c r="HI60" s="470"/>
      <c r="HJ60" s="470"/>
      <c r="HK60" s="470"/>
      <c r="HL60" s="470"/>
      <c r="HM60" s="470"/>
      <c r="HN60" s="470"/>
      <c r="HO60" s="470"/>
      <c r="HP60" s="470"/>
      <c r="HQ60" s="470"/>
      <c r="HR60" s="470"/>
      <c r="HS60" s="470"/>
      <c r="HT60" s="470"/>
      <c r="HU60" s="470"/>
      <c r="HV60" s="470"/>
      <c r="HW60" s="470"/>
      <c r="HX60" s="470"/>
      <c r="HY60" s="470"/>
      <c r="HZ60" s="470"/>
      <c r="IA60" s="470"/>
      <c r="IB60" s="470"/>
      <c r="IC60" s="470"/>
      <c r="ID60" s="470"/>
      <c r="IE60" s="470"/>
      <c r="IF60" s="470"/>
      <c r="IG60" s="470"/>
      <c r="IH60" s="470"/>
      <c r="II60" s="470"/>
      <c r="IJ60" s="470"/>
      <c r="IK60" s="470"/>
      <c r="IL60" s="470"/>
      <c r="IM60" s="470"/>
      <c r="IN60" s="470"/>
      <c r="IO60" s="470"/>
      <c r="IP60" s="470"/>
      <c r="IQ60" s="470"/>
      <c r="IR60" s="470"/>
      <c r="IS60" s="470"/>
      <c r="IT60" s="470"/>
      <c r="IU60" s="470"/>
      <c r="IV60" s="470"/>
      <c r="IW60" s="470"/>
    </row>
    <row r="61" spans="1:257" s="470" customFormat="1" ht="34.5" customHeight="1" x14ac:dyDescent="0.2">
      <c r="A61" s="670"/>
      <c r="B61" s="870" t="s">
        <v>1077</v>
      </c>
      <c r="C61" s="1262">
        <v>8551.0668100000003</v>
      </c>
      <c r="D61" s="1239"/>
      <c r="E61" s="1499"/>
      <c r="F61" s="1498"/>
      <c r="G61" s="841"/>
      <c r="H61" s="849"/>
      <c r="I61" s="706"/>
      <c r="J61" s="706"/>
      <c r="K61" s="706"/>
      <c r="L61" s="706"/>
      <c r="M61" s="706"/>
      <c r="N61" s="706"/>
      <c r="O61" s="706"/>
      <c r="P61" s="701"/>
      <c r="Q61" s="701"/>
      <c r="R61" s="701"/>
      <c r="S61" s="701"/>
      <c r="T61" s="701"/>
      <c r="U61" s="701"/>
      <c r="V61" s="701"/>
      <c r="W61" s="701"/>
    </row>
    <row r="62" spans="1:257" s="470" customFormat="1" ht="48" x14ac:dyDescent="0.2">
      <c r="A62" s="639"/>
      <c r="B62" s="678" t="s">
        <v>1078</v>
      </c>
      <c r="C62" s="1267">
        <f>4040.2693+306.36+23929.04+93.45396</f>
        <v>28369.12326</v>
      </c>
      <c r="D62" s="1239"/>
      <c r="E62" s="1500"/>
      <c r="F62" s="701"/>
      <c r="G62" s="841"/>
      <c r="H62" s="706"/>
      <c r="I62" s="706"/>
      <c r="J62" s="706"/>
      <c r="K62" s="706"/>
      <c r="L62" s="706"/>
      <c r="M62" s="706"/>
      <c r="N62" s="706"/>
      <c r="O62" s="706"/>
      <c r="P62" s="701"/>
      <c r="Q62" s="701"/>
      <c r="R62" s="701"/>
      <c r="S62" s="701"/>
      <c r="T62" s="701"/>
      <c r="U62" s="701"/>
      <c r="V62" s="701"/>
      <c r="W62" s="701"/>
    </row>
    <row r="63" spans="1:257" s="470" customFormat="1" ht="48" x14ac:dyDescent="0.2">
      <c r="A63" s="639"/>
      <c r="B63" s="678" t="s">
        <v>1726</v>
      </c>
      <c r="C63" s="1263">
        <v>43101</v>
      </c>
      <c r="D63" s="1239"/>
      <c r="E63" s="1500"/>
      <c r="F63" s="1500"/>
      <c r="G63" s="854"/>
      <c r="H63" s="706"/>
      <c r="I63" s="706"/>
      <c r="J63" s="706"/>
      <c r="K63" s="706"/>
      <c r="L63" s="706"/>
      <c r="M63" s="706"/>
      <c r="N63" s="706"/>
      <c r="O63" s="706"/>
      <c r="P63" s="701"/>
      <c r="Q63" s="701"/>
      <c r="R63" s="701"/>
      <c r="S63" s="701"/>
      <c r="T63" s="701"/>
      <c r="U63" s="701"/>
      <c r="V63" s="701"/>
      <c r="W63" s="701"/>
    </row>
    <row r="64" spans="1:257" s="470" customFormat="1" ht="36" x14ac:dyDescent="0.2">
      <c r="A64" s="77"/>
      <c r="B64" s="671" t="s">
        <v>1079</v>
      </c>
      <c r="C64" s="1268">
        <f>8659+650</f>
        <v>9309</v>
      </c>
      <c r="D64" s="1243"/>
      <c r="E64" s="1500"/>
      <c r="F64" s="1500"/>
      <c r="G64" s="854"/>
      <c r="H64" s="706"/>
      <c r="I64" s="706"/>
      <c r="J64" s="706"/>
      <c r="K64" s="706"/>
      <c r="L64" s="706"/>
      <c r="M64" s="706"/>
      <c r="N64" s="706"/>
      <c r="O64" s="706"/>
      <c r="P64" s="701"/>
      <c r="Q64" s="701"/>
      <c r="R64" s="701"/>
      <c r="S64" s="701"/>
      <c r="T64" s="701"/>
      <c r="U64" s="701"/>
      <c r="V64" s="701"/>
      <c r="W64" s="701"/>
    </row>
    <row r="65" spans="1:23" s="470" customFormat="1" ht="44.25" customHeight="1" x14ac:dyDescent="0.2">
      <c r="A65" s="77"/>
      <c r="B65" s="677" t="s">
        <v>1727</v>
      </c>
      <c r="C65" s="1263">
        <v>4527.6907300000003</v>
      </c>
      <c r="D65" s="1239"/>
      <c r="E65" s="1500"/>
      <c r="F65" s="1500"/>
      <c r="G65" s="841"/>
      <c r="H65" s="860"/>
      <c r="I65" s="706"/>
      <c r="J65" s="706"/>
      <c r="K65" s="706"/>
      <c r="L65" s="706"/>
      <c r="M65" s="706"/>
      <c r="N65" s="706"/>
      <c r="O65" s="706"/>
      <c r="P65" s="701"/>
      <c r="Q65" s="701"/>
      <c r="R65" s="701"/>
      <c r="S65" s="701"/>
      <c r="T65" s="701"/>
      <c r="U65" s="701"/>
      <c r="V65" s="701"/>
      <c r="W65" s="701"/>
    </row>
    <row r="66" spans="1:23" s="470" customFormat="1" ht="36" x14ac:dyDescent="0.2">
      <c r="A66" s="77"/>
      <c r="B66" s="674" t="s">
        <v>1080</v>
      </c>
      <c r="C66" s="1263">
        <v>265679.64399999997</v>
      </c>
      <c r="D66" s="1239"/>
      <c r="E66" s="1500"/>
      <c r="F66" s="1500"/>
      <c r="G66" s="854"/>
      <c r="H66" s="706"/>
      <c r="I66" s="706"/>
      <c r="J66" s="706"/>
      <c r="K66" s="706"/>
      <c r="L66" s="706"/>
      <c r="M66" s="706"/>
      <c r="N66" s="706"/>
      <c r="O66" s="706"/>
      <c r="P66" s="701"/>
      <c r="Q66" s="701"/>
      <c r="R66" s="701"/>
      <c r="S66" s="701"/>
      <c r="T66" s="701"/>
      <c r="U66" s="701"/>
      <c r="V66" s="701"/>
      <c r="W66" s="701"/>
    </row>
    <row r="67" spans="1:23" s="470" customFormat="1" ht="36" x14ac:dyDescent="0.2">
      <c r="A67" s="77"/>
      <c r="B67" s="674" t="s">
        <v>1081</v>
      </c>
      <c r="C67" s="1263">
        <v>350</v>
      </c>
      <c r="D67" s="1239"/>
      <c r="E67" s="1501"/>
      <c r="F67" s="1500"/>
      <c r="G67" s="854"/>
      <c r="H67" s="706"/>
      <c r="I67" s="706"/>
      <c r="J67" s="706"/>
      <c r="K67" s="706"/>
      <c r="L67" s="706"/>
      <c r="M67" s="706"/>
      <c r="N67" s="706"/>
      <c r="O67" s="706"/>
      <c r="P67" s="701"/>
      <c r="Q67" s="701"/>
      <c r="R67" s="701"/>
      <c r="S67" s="701"/>
      <c r="T67" s="701"/>
      <c r="U67" s="701"/>
      <c r="V67" s="701"/>
      <c r="W67" s="701"/>
    </row>
    <row r="68" spans="1:23" s="470" customFormat="1" ht="36" x14ac:dyDescent="0.2">
      <c r="A68" s="77"/>
      <c r="B68" s="674" t="s">
        <v>1082</v>
      </c>
      <c r="C68" s="1263">
        <v>300</v>
      </c>
      <c r="D68" s="1239"/>
      <c r="E68" s="1501"/>
      <c r="F68" s="1500"/>
      <c r="G68" s="854"/>
      <c r="H68" s="706"/>
      <c r="I68" s="706"/>
      <c r="J68" s="706"/>
      <c r="K68" s="706"/>
      <c r="L68" s="706"/>
      <c r="M68" s="706"/>
      <c r="N68" s="706"/>
      <c r="O68" s="706"/>
      <c r="P68" s="701"/>
      <c r="Q68" s="701"/>
      <c r="R68" s="701"/>
      <c r="S68" s="701"/>
      <c r="T68" s="701"/>
      <c r="U68" s="701"/>
      <c r="V68" s="701"/>
      <c r="W68" s="701"/>
    </row>
    <row r="69" spans="1:23" s="470" customFormat="1" ht="24" x14ac:dyDescent="0.2">
      <c r="A69" s="77"/>
      <c r="B69" s="674" t="s">
        <v>1083</v>
      </c>
      <c r="C69" s="1263">
        <f>730550.39983</f>
        <v>730550.39983000001</v>
      </c>
      <c r="D69" s="1239"/>
      <c r="E69" s="1500"/>
      <c r="F69" s="701"/>
      <c r="G69" s="706"/>
      <c r="H69" s="706"/>
      <c r="I69" s="706"/>
      <c r="J69" s="864"/>
      <c r="K69" s="706"/>
      <c r="L69" s="706"/>
      <c r="M69" s="706"/>
      <c r="N69" s="706"/>
      <c r="O69" s="706"/>
      <c r="P69" s="701"/>
      <c r="Q69" s="701"/>
      <c r="R69" s="701"/>
      <c r="S69" s="701"/>
      <c r="T69" s="701"/>
      <c r="U69" s="701"/>
      <c r="V69" s="701"/>
      <c r="W69" s="701"/>
    </row>
    <row r="70" spans="1:23" s="470" customFormat="1" x14ac:dyDescent="0.2">
      <c r="A70" s="77"/>
      <c r="B70" s="671" t="s">
        <v>1084</v>
      </c>
      <c r="C70" s="1263">
        <v>6562.5026200000002</v>
      </c>
      <c r="D70" s="1239"/>
      <c r="E70" s="1500"/>
      <c r="F70" s="1502"/>
      <c r="G70" s="865"/>
      <c r="H70" s="864"/>
      <c r="I70" s="864"/>
      <c r="J70" s="864"/>
      <c r="K70" s="706"/>
      <c r="L70" s="706"/>
      <c r="M70" s="706"/>
      <c r="N70" s="706"/>
      <c r="O70" s="706"/>
      <c r="P70" s="701"/>
      <c r="Q70" s="701"/>
      <c r="R70" s="701"/>
      <c r="S70" s="701"/>
      <c r="T70" s="701"/>
      <c r="U70" s="701"/>
      <c r="V70" s="701"/>
      <c r="W70" s="701"/>
    </row>
    <row r="71" spans="1:23" s="470" customFormat="1" x14ac:dyDescent="0.2">
      <c r="A71" s="77"/>
      <c r="B71" s="671" t="s">
        <v>1085</v>
      </c>
      <c r="C71" s="1263">
        <v>31370.644899999999</v>
      </c>
      <c r="D71" s="1239"/>
      <c r="E71" s="1500"/>
      <c r="F71" s="1414"/>
      <c r="G71" s="865"/>
      <c r="H71" s="866"/>
      <c r="I71" s="864"/>
      <c r="J71" s="864"/>
      <c r="K71" s="706"/>
      <c r="L71" s="706"/>
      <c r="M71" s="706"/>
      <c r="N71" s="706"/>
      <c r="O71" s="706"/>
      <c r="P71" s="701"/>
      <c r="Q71" s="701"/>
      <c r="R71" s="701"/>
      <c r="S71" s="701"/>
      <c r="T71" s="701"/>
      <c r="U71" s="701"/>
      <c r="V71" s="701"/>
      <c r="W71" s="701"/>
    </row>
    <row r="72" spans="1:23" s="470" customFormat="1" x14ac:dyDescent="0.2">
      <c r="A72" s="77"/>
      <c r="B72" s="671" t="s">
        <v>1086</v>
      </c>
      <c r="C72" s="1263">
        <v>25000</v>
      </c>
      <c r="D72" s="1239"/>
      <c r="E72" s="1500"/>
      <c r="F72" s="1500"/>
      <c r="G72" s="854"/>
      <c r="H72" s="706"/>
      <c r="I72" s="706"/>
      <c r="J72" s="706"/>
      <c r="K72" s="706"/>
      <c r="L72" s="706"/>
      <c r="M72" s="706"/>
      <c r="N72" s="706"/>
      <c r="O72" s="706"/>
      <c r="P72" s="701"/>
      <c r="Q72" s="701"/>
      <c r="R72" s="701"/>
      <c r="S72" s="701"/>
      <c r="T72" s="701"/>
      <c r="U72" s="701"/>
      <c r="V72" s="701"/>
      <c r="W72" s="701"/>
    </row>
    <row r="73" spans="1:23" s="470" customFormat="1" ht="24" x14ac:dyDescent="0.2">
      <c r="A73" s="77"/>
      <c r="B73" s="674" t="s">
        <v>1087</v>
      </c>
      <c r="C73" s="1263">
        <v>221000</v>
      </c>
      <c r="D73" s="1239"/>
      <c r="E73" s="1503"/>
      <c r="F73" s="1500"/>
      <c r="G73" s="854"/>
      <c r="H73" s="706"/>
      <c r="I73" s="706"/>
      <c r="J73" s="706"/>
      <c r="K73" s="706"/>
      <c r="L73" s="706"/>
      <c r="M73" s="706"/>
      <c r="N73" s="706"/>
      <c r="O73" s="706"/>
      <c r="P73" s="701"/>
      <c r="Q73" s="701"/>
      <c r="R73" s="701"/>
      <c r="S73" s="701"/>
      <c r="T73" s="701"/>
      <c r="U73" s="701"/>
      <c r="V73" s="701"/>
      <c r="W73" s="701"/>
    </row>
    <row r="74" spans="1:23" s="470" customFormat="1" ht="13.5" thickBot="1" x14ac:dyDescent="0.25">
      <c r="A74" s="639"/>
      <c r="B74" s="840"/>
      <c r="C74" s="1267"/>
      <c r="D74" s="1239"/>
      <c r="E74" s="1500"/>
      <c r="F74" s="1500"/>
      <c r="G74" s="854"/>
      <c r="H74" s="706"/>
      <c r="I74" s="706"/>
      <c r="J74" s="706"/>
      <c r="K74" s="706"/>
      <c r="L74" s="706"/>
      <c r="M74" s="706"/>
      <c r="N74" s="706"/>
      <c r="O74" s="706"/>
      <c r="P74" s="701"/>
      <c r="Q74" s="701"/>
      <c r="R74" s="701"/>
      <c r="S74" s="701"/>
      <c r="T74" s="701"/>
      <c r="U74" s="701"/>
      <c r="V74" s="701"/>
      <c r="W74" s="701"/>
    </row>
    <row r="75" spans="1:23" s="876" customFormat="1" ht="27.75" customHeight="1" thickBot="1" x14ac:dyDescent="0.25">
      <c r="A75" s="871"/>
      <c r="B75" s="872" t="s">
        <v>1088</v>
      </c>
      <c r="C75" s="1269">
        <f>C21-C28</f>
        <v>348.22418000036851</v>
      </c>
      <c r="D75" s="1244"/>
      <c r="E75" s="1504"/>
      <c r="F75" s="1504"/>
      <c r="G75" s="873"/>
      <c r="H75" s="874"/>
      <c r="I75" s="875"/>
      <c r="J75" s="875"/>
      <c r="K75" s="875"/>
      <c r="L75" s="875"/>
      <c r="M75" s="875"/>
      <c r="N75" s="875"/>
      <c r="O75" s="875"/>
      <c r="P75" s="1505"/>
      <c r="Q75" s="1505"/>
      <c r="R75" s="1505"/>
      <c r="S75" s="1505"/>
      <c r="T75" s="1505"/>
      <c r="U75" s="1505"/>
      <c r="V75" s="1505"/>
      <c r="W75" s="1505"/>
    </row>
    <row r="76" spans="1:23" s="470" customFormat="1" x14ac:dyDescent="0.2">
      <c r="A76" s="679"/>
      <c r="B76" s="680"/>
      <c r="C76" s="681"/>
      <c r="D76" s="1245"/>
      <c r="E76" s="1506"/>
      <c r="F76" s="1506"/>
      <c r="G76" s="867"/>
      <c r="H76" s="706"/>
      <c r="I76" s="706"/>
      <c r="J76" s="706"/>
      <c r="K76" s="864"/>
      <c r="L76" s="864"/>
      <c r="M76" s="706"/>
      <c r="N76" s="706"/>
      <c r="O76" s="706"/>
      <c r="P76" s="701"/>
      <c r="Q76" s="701"/>
      <c r="R76" s="701"/>
      <c r="S76" s="701"/>
      <c r="T76" s="701"/>
      <c r="U76" s="701"/>
      <c r="V76" s="701"/>
      <c r="W76" s="701"/>
    </row>
    <row r="77" spans="1:23" s="470" customFormat="1" x14ac:dyDescent="0.2">
      <c r="A77" s="679"/>
      <c r="B77" s="680"/>
      <c r="C77" s="681"/>
      <c r="D77" s="1246"/>
      <c r="E77" s="1506"/>
      <c r="F77" s="1506"/>
      <c r="G77" s="1507"/>
      <c r="H77" s="701"/>
      <c r="I77" s="701"/>
      <c r="J77" s="701"/>
      <c r="K77" s="701"/>
      <c r="L77" s="701"/>
      <c r="M77" s="701"/>
      <c r="N77" s="701"/>
      <c r="O77" s="701"/>
      <c r="P77" s="701"/>
      <c r="Q77" s="701"/>
      <c r="R77" s="701"/>
      <c r="S77" s="701"/>
      <c r="T77" s="701"/>
      <c r="U77" s="701"/>
      <c r="V77" s="701"/>
      <c r="W77" s="701"/>
    </row>
    <row r="78" spans="1:23" s="470" customFormat="1" x14ac:dyDescent="0.2">
      <c r="A78" s="679"/>
      <c r="B78" s="680"/>
      <c r="C78" s="681"/>
      <c r="D78" s="1246"/>
      <c r="E78" s="1506"/>
      <c r="F78" s="1506"/>
      <c r="G78" s="1507"/>
      <c r="H78" s="701"/>
      <c r="I78" s="701"/>
      <c r="J78" s="701"/>
      <c r="K78" s="701"/>
      <c r="L78" s="701"/>
      <c r="M78" s="701"/>
      <c r="N78" s="701"/>
      <c r="O78" s="701"/>
      <c r="P78" s="701"/>
      <c r="Q78" s="701"/>
      <c r="R78" s="701"/>
      <c r="S78" s="701"/>
      <c r="T78" s="701"/>
      <c r="U78" s="701"/>
      <c r="V78" s="701"/>
      <c r="W78" s="701"/>
    </row>
  </sheetData>
  <mergeCells count="21">
    <mergeCell ref="A28:B28"/>
    <mergeCell ref="A37:B37"/>
    <mergeCell ref="A60:B60"/>
    <mergeCell ref="A17:B17"/>
    <mergeCell ref="A18:B18"/>
    <mergeCell ref="A19:B19"/>
    <mergeCell ref="A21:B21"/>
    <mergeCell ref="A22:B22"/>
    <mergeCell ref="A27:B27"/>
    <mergeCell ref="A15:C15"/>
    <mergeCell ref="A3:C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I116"/>
  <sheetViews>
    <sheetView workbookViewId="0">
      <selection activeCell="K112" sqref="K112"/>
    </sheetView>
  </sheetViews>
  <sheetFormatPr defaultRowHeight="12.75" x14ac:dyDescent="0.2"/>
  <cols>
    <col min="1" max="1" width="9.7109375" customWidth="1"/>
    <col min="2" max="2" width="9.5703125" customWidth="1"/>
    <col min="3" max="3" width="20.85546875" customWidth="1"/>
    <col min="4" max="4" width="33.7109375" customWidth="1"/>
    <col min="5" max="5" width="17.28515625" customWidth="1"/>
    <col min="6" max="6" width="2.42578125" customWidth="1"/>
    <col min="8" max="8" width="12.140625" bestFit="1" customWidth="1"/>
  </cols>
  <sheetData>
    <row r="1" spans="1:8" s="12" customFormat="1" x14ac:dyDescent="0.2">
      <c r="A1" s="337"/>
      <c r="B1" s="337"/>
      <c r="C1" s="337"/>
      <c r="D1" s="337"/>
      <c r="E1" s="535" t="s">
        <v>41</v>
      </c>
    </row>
    <row r="2" spans="1:8" s="12" customFormat="1" x14ac:dyDescent="0.2">
      <c r="A2" s="337"/>
      <c r="B2" s="337"/>
      <c r="C2" s="337"/>
      <c r="D2" s="337"/>
      <c r="E2" s="536"/>
    </row>
    <row r="3" spans="1:8" s="12" customFormat="1" ht="15.75" x14ac:dyDescent="0.2">
      <c r="A3" s="1807" t="s">
        <v>828</v>
      </c>
      <c r="B3" s="1807"/>
      <c r="C3" s="1807"/>
      <c r="D3" s="1807"/>
      <c r="E3" s="1807"/>
    </row>
    <row r="4" spans="1:8" s="12" customFormat="1" x14ac:dyDescent="0.2">
      <c r="A4" s="337"/>
      <c r="B4" s="337"/>
      <c r="C4" s="337"/>
      <c r="D4" s="337"/>
      <c r="E4" s="331"/>
    </row>
    <row r="5" spans="1:8" s="12" customFormat="1" ht="15.75" x14ac:dyDescent="0.2">
      <c r="A5" s="1808" t="s">
        <v>835</v>
      </c>
      <c r="B5" s="1808"/>
      <c r="C5" s="1808"/>
      <c r="D5" s="1808"/>
      <c r="E5" s="1808"/>
    </row>
    <row r="6" spans="1:8" s="12" customFormat="1" x14ac:dyDescent="0.2">
      <c r="A6" s="339"/>
      <c r="B6" s="339"/>
      <c r="C6" s="339"/>
      <c r="D6" s="339"/>
      <c r="E6" s="537"/>
    </row>
    <row r="7" spans="1:8" s="12" customFormat="1" x14ac:dyDescent="0.2">
      <c r="A7" s="1809" t="s">
        <v>836</v>
      </c>
      <c r="B7" s="1810"/>
      <c r="C7" s="1810"/>
      <c r="D7" s="1810"/>
      <c r="E7" s="1810"/>
    </row>
    <row r="8" spans="1:8" s="12" customFormat="1" ht="13.5" thickBot="1" x14ac:dyDescent="0.25">
      <c r="A8" s="338"/>
      <c r="B8" s="339"/>
      <c r="C8" s="339"/>
      <c r="D8" s="339"/>
      <c r="E8" s="537"/>
    </row>
    <row r="9" spans="1:8" s="12" customFormat="1" ht="13.5" thickBot="1" x14ac:dyDescent="0.25">
      <c r="A9" s="1804" t="s">
        <v>355</v>
      </c>
      <c r="B9" s="1805"/>
      <c r="C9" s="1805"/>
      <c r="D9" s="1805"/>
      <c r="E9" s="538" t="s">
        <v>70</v>
      </c>
    </row>
    <row r="10" spans="1:8" s="12" customFormat="1" ht="13.5" thickBot="1" x14ac:dyDescent="0.25">
      <c r="A10" s="539">
        <v>910</v>
      </c>
      <c r="B10" s="1811" t="s">
        <v>560</v>
      </c>
      <c r="C10" s="1811"/>
      <c r="D10" s="1811"/>
      <c r="E10" s="555">
        <f>SUM(E11:E12)</f>
        <v>35729</v>
      </c>
    </row>
    <row r="11" spans="1:8" s="12" customFormat="1" ht="12.75" customHeight="1" x14ac:dyDescent="0.2">
      <c r="A11" s="1812"/>
      <c r="B11" s="540" t="s">
        <v>359</v>
      </c>
      <c r="C11" s="541" t="s">
        <v>42</v>
      </c>
      <c r="D11" s="541"/>
      <c r="E11" s="556">
        <v>4924.8</v>
      </c>
      <c r="H11" s="82"/>
    </row>
    <row r="12" spans="1:8" s="12" customFormat="1" ht="12.75" customHeight="1" thickBot="1" x14ac:dyDescent="0.25">
      <c r="A12" s="1812"/>
      <c r="B12" s="540"/>
      <c r="C12" s="1813" t="s">
        <v>43</v>
      </c>
      <c r="D12" s="1813"/>
      <c r="E12" s="557">
        <v>30804.2</v>
      </c>
      <c r="H12" s="82"/>
    </row>
    <row r="13" spans="1:8" s="76" customFormat="1" ht="15" customHeight="1" thickBot="1" x14ac:dyDescent="0.25">
      <c r="A13" s="480">
        <v>911</v>
      </c>
      <c r="B13" s="1799" t="s">
        <v>562</v>
      </c>
      <c r="C13" s="1799"/>
      <c r="D13" s="1799"/>
      <c r="E13" s="555">
        <f>E14</f>
        <v>325331.84999999998</v>
      </c>
    </row>
    <row r="14" spans="1:8" s="123" customFormat="1" ht="12.75" customHeight="1" thickBot="1" x14ac:dyDescent="0.25">
      <c r="A14" s="481"/>
      <c r="B14" s="542" t="s">
        <v>359</v>
      </c>
      <c r="C14" s="1827" t="s">
        <v>43</v>
      </c>
      <c r="D14" s="1828"/>
      <c r="E14" s="557">
        <v>325331.84999999998</v>
      </c>
      <c r="H14" s="579"/>
    </row>
    <row r="15" spans="1:8" s="76" customFormat="1" ht="15" customHeight="1" thickBot="1" x14ac:dyDescent="0.25">
      <c r="A15" s="480">
        <v>912</v>
      </c>
      <c r="B15" s="1799" t="s">
        <v>563</v>
      </c>
      <c r="C15" s="1799"/>
      <c r="D15" s="1799"/>
      <c r="E15" s="555">
        <f>SUM(E16:E20)</f>
        <v>23250</v>
      </c>
    </row>
    <row r="16" spans="1:8" s="123" customFormat="1" ht="12.75" customHeight="1" x14ac:dyDescent="0.2">
      <c r="A16" s="483"/>
      <c r="B16" s="540" t="s">
        <v>359</v>
      </c>
      <c r="C16" s="1814" t="s">
        <v>445</v>
      </c>
      <c r="D16" s="1814"/>
      <c r="E16" s="556">
        <v>5100</v>
      </c>
    </row>
    <row r="17" spans="1:9" s="123" customFormat="1" ht="12.75" customHeight="1" x14ac:dyDescent="0.2">
      <c r="A17" s="483"/>
      <c r="B17" s="543"/>
      <c r="C17" s="1815" t="s">
        <v>222</v>
      </c>
      <c r="D17" s="1815"/>
      <c r="E17" s="558">
        <v>5000</v>
      </c>
    </row>
    <row r="18" spans="1:9" s="123" customFormat="1" ht="12.75" customHeight="1" x14ac:dyDescent="0.2">
      <c r="A18" s="483"/>
      <c r="B18" s="543"/>
      <c r="C18" s="1814" t="s">
        <v>211</v>
      </c>
      <c r="D18" s="1814"/>
      <c r="E18" s="558">
        <v>6950</v>
      </c>
    </row>
    <row r="19" spans="1:9" s="123" customFormat="1" ht="12.75" customHeight="1" x14ac:dyDescent="0.2">
      <c r="A19" s="483"/>
      <c r="B19" s="543"/>
      <c r="C19" s="1815" t="s">
        <v>223</v>
      </c>
      <c r="D19" s="1815"/>
      <c r="E19" s="558">
        <v>4200</v>
      </c>
    </row>
    <row r="20" spans="1:9" s="123" customFormat="1" ht="12.75" customHeight="1" thickBot="1" x14ac:dyDescent="0.25">
      <c r="A20" s="483"/>
      <c r="B20" s="543"/>
      <c r="C20" s="1829" t="s">
        <v>212</v>
      </c>
      <c r="D20" s="1829"/>
      <c r="E20" s="557">
        <v>2000</v>
      </c>
    </row>
    <row r="21" spans="1:9" s="12" customFormat="1" ht="15" customHeight="1" thickBot="1" x14ac:dyDescent="0.25">
      <c r="A21" s="480">
        <v>913</v>
      </c>
      <c r="B21" s="1797" t="s">
        <v>566</v>
      </c>
      <c r="C21" s="1796"/>
      <c r="D21" s="1830"/>
      <c r="E21" s="559">
        <f>SUM(E22:E28)</f>
        <v>1083152.8600000001</v>
      </c>
    </row>
    <row r="22" spans="1:9" s="123" customFormat="1" ht="12.75" customHeight="1" x14ac:dyDescent="0.2">
      <c r="A22" s="481"/>
      <c r="B22" s="540" t="s">
        <v>359</v>
      </c>
      <c r="C22" s="1814" t="s">
        <v>221</v>
      </c>
      <c r="D22" s="1814"/>
      <c r="E22" s="556">
        <v>276009.84999999998</v>
      </c>
    </row>
    <row r="23" spans="1:9" s="123" customFormat="1" ht="12.75" customHeight="1" x14ac:dyDescent="0.2">
      <c r="A23" s="481"/>
      <c r="B23" s="543"/>
      <c r="C23" s="1815" t="s">
        <v>222</v>
      </c>
      <c r="D23" s="1815"/>
      <c r="E23" s="558">
        <v>138663.16999999998</v>
      </c>
    </row>
    <row r="24" spans="1:9" s="123" customFormat="1" ht="12.75" customHeight="1" x14ac:dyDescent="0.2">
      <c r="A24" s="481"/>
      <c r="B24" s="543"/>
      <c r="C24" s="1814" t="s">
        <v>211</v>
      </c>
      <c r="D24" s="1814"/>
      <c r="E24" s="558">
        <v>311136</v>
      </c>
    </row>
    <row r="25" spans="1:9" s="123" customFormat="1" ht="12.75" customHeight="1" x14ac:dyDescent="0.2">
      <c r="A25" s="481"/>
      <c r="B25" s="543"/>
      <c r="C25" s="1815" t="s">
        <v>223</v>
      </c>
      <c r="D25" s="1815"/>
      <c r="E25" s="558">
        <v>131980.79999999999</v>
      </c>
    </row>
    <row r="26" spans="1:9" s="123" customFormat="1" ht="12.75" customHeight="1" x14ac:dyDescent="0.2">
      <c r="A26" s="481"/>
      <c r="B26" s="543"/>
      <c r="C26" s="1815" t="s">
        <v>374</v>
      </c>
      <c r="D26" s="1815"/>
      <c r="E26" s="558">
        <v>5760</v>
      </c>
    </row>
    <row r="27" spans="1:9" s="123" customFormat="1" ht="12.75" customHeight="1" x14ac:dyDescent="0.2">
      <c r="A27" s="481"/>
      <c r="B27" s="543"/>
      <c r="C27" s="1815" t="s">
        <v>212</v>
      </c>
      <c r="D27" s="1825"/>
      <c r="E27" s="558">
        <v>208103.03999999998</v>
      </c>
    </row>
    <row r="28" spans="1:9" s="123" customFormat="1" ht="12.75" customHeight="1" thickBot="1" x14ac:dyDescent="0.25">
      <c r="A28" s="481"/>
      <c r="B28" s="543"/>
      <c r="C28" s="1813" t="s">
        <v>79</v>
      </c>
      <c r="D28" s="1813"/>
      <c r="E28" s="557">
        <v>11500</v>
      </c>
    </row>
    <row r="29" spans="1:9" s="76" customFormat="1" ht="15" customHeight="1" thickBot="1" x14ac:dyDescent="0.25">
      <c r="A29" s="480">
        <v>914</v>
      </c>
      <c r="B29" s="1820" t="s">
        <v>684</v>
      </c>
      <c r="C29" s="1821"/>
      <c r="D29" s="1822"/>
      <c r="E29" s="555">
        <f>SUM(E30:E45)</f>
        <v>903642.97999999986</v>
      </c>
      <c r="H29" s="580"/>
      <c r="I29" s="580"/>
    </row>
    <row r="30" spans="1:9" s="123" customFormat="1" ht="12.75" customHeight="1" x14ac:dyDescent="0.2">
      <c r="A30" s="481"/>
      <c r="B30" s="568" t="s">
        <v>359</v>
      </c>
      <c r="C30" s="1800" t="s">
        <v>278</v>
      </c>
      <c r="D30" s="1800"/>
      <c r="E30" s="556">
        <v>14568.2</v>
      </c>
      <c r="H30" s="579"/>
      <c r="I30" s="579"/>
    </row>
    <row r="31" spans="1:9" s="123" customFormat="1" ht="12.75" customHeight="1" x14ac:dyDescent="0.2">
      <c r="A31" s="481"/>
      <c r="B31" s="544"/>
      <c r="C31" s="1792" t="s">
        <v>217</v>
      </c>
      <c r="D31" s="1792"/>
      <c r="E31" s="558">
        <v>8100.5</v>
      </c>
      <c r="H31" s="579"/>
      <c r="I31" s="579"/>
    </row>
    <row r="32" spans="1:9" s="123" customFormat="1" ht="12.75" customHeight="1" x14ac:dyDescent="0.2">
      <c r="A32" s="481"/>
      <c r="B32" s="544"/>
      <c r="C32" s="1792" t="s">
        <v>213</v>
      </c>
      <c r="D32" s="1792"/>
      <c r="E32" s="558">
        <v>11540</v>
      </c>
      <c r="H32" s="579"/>
      <c r="I32" s="579"/>
    </row>
    <row r="33" spans="1:9" s="123" customFormat="1" ht="12.75" customHeight="1" x14ac:dyDescent="0.2">
      <c r="A33" s="481"/>
      <c r="B33" s="544"/>
      <c r="C33" s="1800" t="s">
        <v>279</v>
      </c>
      <c r="D33" s="1800"/>
      <c r="E33" s="558">
        <v>5220</v>
      </c>
      <c r="H33" s="579"/>
      <c r="I33" s="579"/>
    </row>
    <row r="34" spans="1:9" s="123" customFormat="1" ht="12.75" customHeight="1" x14ac:dyDescent="0.2">
      <c r="A34" s="481"/>
      <c r="B34" s="544"/>
      <c r="C34" s="1792" t="s">
        <v>225</v>
      </c>
      <c r="D34" s="1792"/>
      <c r="E34" s="558">
        <v>9755</v>
      </c>
      <c r="H34" s="579"/>
      <c r="I34" s="579"/>
    </row>
    <row r="35" spans="1:9" s="123" customFormat="1" ht="12.75" customHeight="1" x14ac:dyDescent="0.2">
      <c r="A35" s="481"/>
      <c r="B35" s="544"/>
      <c r="C35" s="1792" t="s">
        <v>280</v>
      </c>
      <c r="D35" s="1792"/>
      <c r="E35" s="558">
        <v>761990.34</v>
      </c>
      <c r="H35" s="579"/>
      <c r="I35" s="579"/>
    </row>
    <row r="36" spans="1:9" s="123" customFormat="1" ht="12.75" customHeight="1" x14ac:dyDescent="0.2">
      <c r="A36" s="481"/>
      <c r="B36" s="544"/>
      <c r="C36" s="1823" t="s">
        <v>281</v>
      </c>
      <c r="D36" s="1823"/>
      <c r="E36" s="558">
        <v>11764</v>
      </c>
      <c r="H36" s="579"/>
      <c r="I36" s="579"/>
    </row>
    <row r="37" spans="1:9" s="123" customFormat="1" ht="12.75" customHeight="1" x14ac:dyDescent="0.2">
      <c r="A37" s="481"/>
      <c r="B37" s="544"/>
      <c r="C37" s="1792" t="s">
        <v>282</v>
      </c>
      <c r="D37" s="1792"/>
      <c r="E37" s="558">
        <v>8633.7000000000007</v>
      </c>
      <c r="H37" s="579"/>
      <c r="I37" s="579"/>
    </row>
    <row r="38" spans="1:9" s="123" customFormat="1" ht="12.75" customHeight="1" x14ac:dyDescent="0.2">
      <c r="A38" s="481"/>
      <c r="B38" s="544"/>
      <c r="C38" s="1792" t="s">
        <v>283</v>
      </c>
      <c r="D38" s="1792"/>
      <c r="E38" s="558">
        <v>3767.33</v>
      </c>
      <c r="H38" s="579"/>
      <c r="I38" s="579"/>
    </row>
    <row r="39" spans="1:9" s="123" customFormat="1" ht="12.75" customHeight="1" x14ac:dyDescent="0.2">
      <c r="A39" s="481"/>
      <c r="B39" s="544"/>
      <c r="C39" s="1792" t="s">
        <v>226</v>
      </c>
      <c r="D39" s="1792"/>
      <c r="E39" s="558">
        <v>4750</v>
      </c>
      <c r="H39" s="579"/>
      <c r="I39" s="579"/>
    </row>
    <row r="40" spans="1:9" s="123" customFormat="1" ht="12.75" customHeight="1" x14ac:dyDescent="0.2">
      <c r="A40" s="481"/>
      <c r="B40" s="544"/>
      <c r="C40" s="1792" t="s">
        <v>284</v>
      </c>
      <c r="D40" s="1792"/>
      <c r="E40" s="558">
        <v>365</v>
      </c>
      <c r="H40" s="579"/>
      <c r="I40" s="579"/>
    </row>
    <row r="41" spans="1:9" s="123" customFormat="1" ht="12.75" customHeight="1" x14ac:dyDescent="0.2">
      <c r="A41" s="481"/>
      <c r="B41" s="544"/>
      <c r="C41" s="1792" t="s">
        <v>214</v>
      </c>
      <c r="D41" s="1792"/>
      <c r="E41" s="558">
        <v>43538.91</v>
      </c>
      <c r="H41" s="579"/>
      <c r="I41" s="579"/>
    </row>
    <row r="42" spans="1:9" s="123" customFormat="1" ht="12.75" customHeight="1" x14ac:dyDescent="0.2">
      <c r="A42" s="481"/>
      <c r="B42" s="544"/>
      <c r="C42" s="1792" t="s">
        <v>216</v>
      </c>
      <c r="D42" s="1792"/>
      <c r="E42" s="558">
        <v>4250</v>
      </c>
      <c r="H42" s="579"/>
      <c r="I42" s="579"/>
    </row>
    <row r="43" spans="1:9" s="123" customFormat="1" ht="12.75" customHeight="1" x14ac:dyDescent="0.2">
      <c r="A43" s="481"/>
      <c r="B43" s="544"/>
      <c r="C43" s="1792" t="s">
        <v>218</v>
      </c>
      <c r="D43" s="1792"/>
      <c r="E43" s="558">
        <v>12400</v>
      </c>
      <c r="H43" s="579"/>
      <c r="I43" s="579"/>
    </row>
    <row r="44" spans="1:9" s="123" customFormat="1" ht="12.75" customHeight="1" x14ac:dyDescent="0.2">
      <c r="A44" s="481"/>
      <c r="B44" s="544"/>
      <c r="C44" s="1792" t="s">
        <v>79</v>
      </c>
      <c r="D44" s="1792"/>
      <c r="E44" s="557">
        <v>0</v>
      </c>
      <c r="H44" s="579"/>
      <c r="I44" s="579"/>
    </row>
    <row r="45" spans="1:9" s="123" customFormat="1" ht="12.75" customHeight="1" thickBot="1" x14ac:dyDescent="0.25">
      <c r="A45" s="478"/>
      <c r="B45" s="545"/>
      <c r="C45" s="1792" t="s">
        <v>777</v>
      </c>
      <c r="D45" s="1792"/>
      <c r="E45" s="557">
        <v>3000</v>
      </c>
      <c r="H45" s="582"/>
      <c r="I45" s="579"/>
    </row>
    <row r="46" spans="1:9" s="76" customFormat="1" ht="15" customHeight="1" thickBot="1" x14ac:dyDescent="0.25">
      <c r="A46" s="480">
        <v>915</v>
      </c>
      <c r="B46" s="1820" t="s">
        <v>837</v>
      </c>
      <c r="C46" s="1821"/>
      <c r="D46" s="1822"/>
      <c r="E46" s="555">
        <f>SUM(E47:E50)</f>
        <v>11190</v>
      </c>
      <c r="H46" s="580"/>
      <c r="I46" s="580"/>
    </row>
    <row r="47" spans="1:9" s="123" customFormat="1" ht="12.75" customHeight="1" x14ac:dyDescent="0.2">
      <c r="A47" s="481"/>
      <c r="B47" s="568" t="s">
        <v>359</v>
      </c>
      <c r="C47" s="1823" t="s">
        <v>278</v>
      </c>
      <c r="D47" s="1823"/>
      <c r="E47" s="644">
        <v>650</v>
      </c>
      <c r="H47" s="582"/>
      <c r="I47" s="579"/>
    </row>
    <row r="48" spans="1:9" s="123" customFormat="1" ht="12.75" customHeight="1" x14ac:dyDescent="0.2">
      <c r="A48" s="481"/>
      <c r="B48" s="728"/>
      <c r="C48" s="741" t="s">
        <v>279</v>
      </c>
      <c r="D48" s="741"/>
      <c r="E48" s="742">
        <v>5980</v>
      </c>
      <c r="H48" s="582"/>
      <c r="I48" s="579"/>
    </row>
    <row r="49" spans="1:9" s="123" customFormat="1" ht="12.75" customHeight="1" x14ac:dyDescent="0.2">
      <c r="A49" s="481"/>
      <c r="B49" s="728"/>
      <c r="C49" s="741" t="s">
        <v>832</v>
      </c>
      <c r="D49" s="741"/>
      <c r="E49" s="742">
        <v>4460</v>
      </c>
      <c r="H49" s="582"/>
      <c r="I49" s="579"/>
    </row>
    <row r="50" spans="1:9" s="123" customFormat="1" ht="12.75" customHeight="1" thickBot="1" x14ac:dyDescent="0.25">
      <c r="A50" s="481"/>
      <c r="B50" s="728"/>
      <c r="C50" s="741" t="s">
        <v>282</v>
      </c>
      <c r="D50" s="741"/>
      <c r="E50" s="742">
        <v>100</v>
      </c>
      <c r="H50" s="582"/>
      <c r="I50" s="579"/>
    </row>
    <row r="51" spans="1:9" s="458" customFormat="1" ht="15" customHeight="1" thickBot="1" x14ac:dyDescent="0.25">
      <c r="A51" s="480">
        <v>917</v>
      </c>
      <c r="B51" s="1797" t="s">
        <v>571</v>
      </c>
      <c r="C51" s="1796"/>
      <c r="D51" s="1796"/>
      <c r="E51" s="555">
        <f>SUM(E52:E59)</f>
        <v>158755.15</v>
      </c>
      <c r="H51" s="583"/>
      <c r="I51" s="581"/>
    </row>
    <row r="52" spans="1:9" s="123" customFormat="1" ht="12.75" customHeight="1" x14ac:dyDescent="0.2">
      <c r="A52" s="750"/>
      <c r="B52" s="751" t="s">
        <v>359</v>
      </c>
      <c r="C52" s="1824" t="s">
        <v>278</v>
      </c>
      <c r="D52" s="1824"/>
      <c r="E52" s="752">
        <v>11500</v>
      </c>
      <c r="H52" s="582"/>
      <c r="I52" s="579"/>
    </row>
    <row r="53" spans="1:9" s="123" customFormat="1" ht="12.75" customHeight="1" x14ac:dyDescent="0.2">
      <c r="A53" s="730"/>
      <c r="B53" s="547"/>
      <c r="C53" s="1792" t="s">
        <v>217</v>
      </c>
      <c r="D53" s="1792"/>
      <c r="E53" s="558">
        <v>20516</v>
      </c>
      <c r="H53" s="582"/>
    </row>
    <row r="54" spans="1:9" s="123" customFormat="1" ht="12.75" customHeight="1" x14ac:dyDescent="0.2">
      <c r="A54" s="730"/>
      <c r="B54" s="547"/>
      <c r="C54" s="1800" t="s">
        <v>279</v>
      </c>
      <c r="D54" s="1800"/>
      <c r="E54" s="558">
        <v>9280</v>
      </c>
      <c r="H54" s="582"/>
    </row>
    <row r="55" spans="1:9" s="123" customFormat="1" ht="12.75" customHeight="1" x14ac:dyDescent="0.2">
      <c r="A55" s="730"/>
      <c r="B55" s="547"/>
      <c r="C55" s="1792" t="s">
        <v>225</v>
      </c>
      <c r="D55" s="1792"/>
      <c r="E55" s="558">
        <v>17255</v>
      </c>
      <c r="H55" s="582"/>
    </row>
    <row r="56" spans="1:9" s="123" customFormat="1" ht="12.75" customHeight="1" x14ac:dyDescent="0.2">
      <c r="A56" s="730"/>
      <c r="B56" s="547"/>
      <c r="C56" s="1792" t="s">
        <v>280</v>
      </c>
      <c r="D56" s="1792"/>
      <c r="E56" s="558">
        <v>35700</v>
      </c>
      <c r="H56" s="582"/>
    </row>
    <row r="57" spans="1:9" s="123" customFormat="1" ht="12.75" customHeight="1" x14ac:dyDescent="0.2">
      <c r="A57" s="730"/>
      <c r="B57" s="547"/>
      <c r="C57" s="1823" t="s">
        <v>281</v>
      </c>
      <c r="D57" s="1823"/>
      <c r="E57" s="558">
        <v>14039.5</v>
      </c>
      <c r="H57" s="582"/>
    </row>
    <row r="58" spans="1:9" s="123" customFormat="1" ht="12.75" customHeight="1" x14ac:dyDescent="0.2">
      <c r="A58" s="730"/>
      <c r="B58" s="547"/>
      <c r="C58" s="1792" t="s">
        <v>282</v>
      </c>
      <c r="D58" s="1792"/>
      <c r="E58" s="558">
        <v>5864.65</v>
      </c>
      <c r="H58" s="582"/>
    </row>
    <row r="59" spans="1:9" s="123" customFormat="1" ht="12.75" customHeight="1" thickBot="1" x14ac:dyDescent="0.25">
      <c r="A59" s="731"/>
      <c r="B59" s="645"/>
      <c r="C59" s="753" t="s">
        <v>283</v>
      </c>
      <c r="D59" s="732"/>
      <c r="E59" s="646">
        <v>44600</v>
      </c>
      <c r="H59" s="582"/>
    </row>
    <row r="60" spans="1:9" s="341" customFormat="1" x14ac:dyDescent="0.2">
      <c r="A60" s="337"/>
      <c r="B60" s="337"/>
      <c r="C60" s="337"/>
      <c r="D60" s="337"/>
      <c r="E60" s="535" t="s">
        <v>228</v>
      </c>
      <c r="F60" s="12"/>
      <c r="H60" s="584"/>
    </row>
    <row r="61" spans="1:9" s="341" customFormat="1" x14ac:dyDescent="0.2">
      <c r="A61" s="337"/>
      <c r="B61" s="337"/>
      <c r="C61" s="337"/>
      <c r="D61" s="337"/>
      <c r="E61" s="536"/>
      <c r="F61" s="12"/>
      <c r="H61" s="584"/>
    </row>
    <row r="62" spans="1:9" s="341" customFormat="1" ht="15.75" x14ac:dyDescent="0.2">
      <c r="A62" s="1807" t="s">
        <v>828</v>
      </c>
      <c r="B62" s="1807"/>
      <c r="C62" s="1807"/>
      <c r="D62" s="1807"/>
      <c r="E62" s="1807"/>
      <c r="F62" s="12"/>
      <c r="H62" s="584"/>
    </row>
    <row r="63" spans="1:9" s="341" customFormat="1" x14ac:dyDescent="0.2">
      <c r="A63" s="337"/>
      <c r="B63" s="337"/>
      <c r="C63" s="337"/>
      <c r="D63" s="337"/>
      <c r="E63" s="331"/>
      <c r="F63" s="12"/>
    </row>
    <row r="64" spans="1:9" s="341" customFormat="1" ht="15.75" x14ac:dyDescent="0.2">
      <c r="A64" s="1808" t="s">
        <v>835</v>
      </c>
      <c r="B64" s="1808"/>
      <c r="C64" s="1808"/>
      <c r="D64" s="1808"/>
      <c r="E64" s="1808"/>
      <c r="F64" s="12"/>
    </row>
    <row r="65" spans="1:8" s="341" customFormat="1" x14ac:dyDescent="0.2">
      <c r="A65" s="729"/>
      <c r="B65" s="729"/>
      <c r="C65" s="729"/>
      <c r="D65" s="729"/>
      <c r="E65" s="537"/>
      <c r="F65" s="12"/>
    </row>
    <row r="66" spans="1:8" s="341" customFormat="1" x14ac:dyDescent="0.2">
      <c r="A66" s="1809" t="s">
        <v>836</v>
      </c>
      <c r="B66" s="1810"/>
      <c r="C66" s="1810"/>
      <c r="D66" s="1810"/>
      <c r="E66" s="1810"/>
      <c r="F66" s="12"/>
    </row>
    <row r="67" spans="1:8" s="341" customFormat="1" ht="13.5" thickBot="1" x14ac:dyDescent="0.25">
      <c r="A67" s="338"/>
      <c r="B67" s="339"/>
      <c r="C67" s="339"/>
      <c r="D67" s="339"/>
      <c r="E67" s="537"/>
      <c r="F67" s="12"/>
    </row>
    <row r="68" spans="1:8" s="341" customFormat="1" ht="13.5" thickBot="1" x14ac:dyDescent="0.25">
      <c r="A68" s="1804" t="s">
        <v>355</v>
      </c>
      <c r="B68" s="1805"/>
      <c r="C68" s="1805"/>
      <c r="D68" s="1805"/>
      <c r="E68" s="538" t="s">
        <v>70</v>
      </c>
      <c r="F68" s="12"/>
    </row>
    <row r="69" spans="1:8" s="458" customFormat="1" ht="15" customHeight="1" thickBot="1" x14ac:dyDescent="0.25">
      <c r="A69" s="489">
        <v>919</v>
      </c>
      <c r="B69" s="1797" t="s">
        <v>572</v>
      </c>
      <c r="C69" s="1796"/>
      <c r="D69" s="1796"/>
      <c r="E69" s="555">
        <f>E70+E71</f>
        <v>43200</v>
      </c>
      <c r="H69" s="583"/>
    </row>
    <row r="70" spans="1:8" s="123" customFormat="1" ht="12.75" customHeight="1" x14ac:dyDescent="0.2">
      <c r="A70" s="1816"/>
      <c r="B70" s="546" t="s">
        <v>203</v>
      </c>
      <c r="C70" s="1806" t="s">
        <v>407</v>
      </c>
      <c r="D70" s="1806"/>
      <c r="E70" s="644">
        <v>0</v>
      </c>
      <c r="H70" s="582"/>
    </row>
    <row r="71" spans="1:8" s="341" customFormat="1" ht="12.75" customHeight="1" thickBot="1" x14ac:dyDescent="0.25">
      <c r="A71" s="1817"/>
      <c r="B71" s="645"/>
      <c r="C71" s="1818" t="s">
        <v>833</v>
      </c>
      <c r="D71" s="1819"/>
      <c r="E71" s="646">
        <v>43200</v>
      </c>
      <c r="H71" s="584"/>
    </row>
    <row r="72" spans="1:8" s="458" customFormat="1" ht="15" customHeight="1" thickBot="1" x14ac:dyDescent="0.25">
      <c r="A72" s="480">
        <v>920</v>
      </c>
      <c r="B72" s="1803" t="s">
        <v>683</v>
      </c>
      <c r="C72" s="1803"/>
      <c r="D72" s="1803"/>
      <c r="E72" s="553">
        <f>SUM(E73:E81)</f>
        <v>300920.28000000003</v>
      </c>
    </row>
    <row r="73" spans="1:8" s="123" customFormat="1" ht="12.75" customHeight="1" x14ac:dyDescent="0.2">
      <c r="A73" s="561"/>
      <c r="B73" s="534" t="s">
        <v>359</v>
      </c>
      <c r="C73" s="1781" t="s">
        <v>279</v>
      </c>
      <c r="D73" s="1781"/>
      <c r="E73" s="562">
        <v>20000</v>
      </c>
    </row>
    <row r="74" spans="1:8" s="123" customFormat="1" ht="12.75" customHeight="1" x14ac:dyDescent="0.2">
      <c r="A74" s="561"/>
      <c r="B74" s="534"/>
      <c r="C74" s="1783" t="s">
        <v>225</v>
      </c>
      <c r="D74" s="1783"/>
      <c r="E74" s="562">
        <v>25000</v>
      </c>
    </row>
    <row r="75" spans="1:8" s="123" customFormat="1" ht="12.75" customHeight="1" x14ac:dyDescent="0.2">
      <c r="A75" s="561"/>
      <c r="B75" s="534"/>
      <c r="C75" s="1783" t="s">
        <v>280</v>
      </c>
      <c r="D75" s="1783"/>
      <c r="E75" s="562">
        <v>115000</v>
      </c>
    </row>
    <row r="76" spans="1:8" s="123" customFormat="1" ht="12.75" customHeight="1" x14ac:dyDescent="0.2">
      <c r="A76" s="561"/>
      <c r="B76" s="534"/>
      <c r="C76" s="1783" t="s">
        <v>282</v>
      </c>
      <c r="D76" s="1783"/>
      <c r="E76" s="562">
        <v>1792.5</v>
      </c>
    </row>
    <row r="77" spans="1:8" s="123" customFormat="1" ht="12.75" customHeight="1" x14ac:dyDescent="0.2">
      <c r="A77" s="561"/>
      <c r="B77" s="534"/>
      <c r="C77" s="1783" t="s">
        <v>283</v>
      </c>
      <c r="D77" s="1783"/>
      <c r="E77" s="562">
        <v>112777.78</v>
      </c>
    </row>
    <row r="78" spans="1:8" s="123" customFormat="1" ht="12.75" customHeight="1" x14ac:dyDescent="0.2">
      <c r="A78" s="561"/>
      <c r="B78" s="534"/>
      <c r="C78" s="1783" t="s">
        <v>284</v>
      </c>
      <c r="D78" s="1783"/>
      <c r="E78" s="562">
        <v>500</v>
      </c>
    </row>
    <row r="79" spans="1:8" s="123" customFormat="1" ht="12.75" customHeight="1" x14ac:dyDescent="0.2">
      <c r="A79" s="561"/>
      <c r="B79" s="534"/>
      <c r="C79" s="1783" t="s">
        <v>214</v>
      </c>
      <c r="D79" s="1783"/>
      <c r="E79" s="562">
        <v>8500</v>
      </c>
    </row>
    <row r="80" spans="1:8" s="123" customFormat="1" ht="12.75" customHeight="1" x14ac:dyDescent="0.2">
      <c r="A80" s="561"/>
      <c r="B80" s="534"/>
      <c r="C80" s="255" t="s">
        <v>216</v>
      </c>
      <c r="D80" s="255"/>
      <c r="E80" s="562">
        <v>350</v>
      </c>
    </row>
    <row r="81" spans="1:8" s="123" customFormat="1" ht="12.75" customHeight="1" thickBot="1" x14ac:dyDescent="0.25">
      <c r="A81" s="561"/>
      <c r="B81" s="533"/>
      <c r="C81" s="1783" t="s">
        <v>218</v>
      </c>
      <c r="D81" s="1783"/>
      <c r="E81" s="562">
        <v>17000</v>
      </c>
    </row>
    <row r="82" spans="1:8" s="497" customFormat="1" ht="15" customHeight="1" thickBot="1" x14ac:dyDescent="0.25">
      <c r="A82" s="480">
        <v>923</v>
      </c>
      <c r="B82" s="1799" t="s">
        <v>574</v>
      </c>
      <c r="C82" s="1799"/>
      <c r="D82" s="1799"/>
      <c r="E82" s="553">
        <f>SUM(E83:E88)</f>
        <v>180000</v>
      </c>
    </row>
    <row r="83" spans="1:8" s="12" customFormat="1" ht="12.75" customHeight="1" x14ac:dyDescent="0.2">
      <c r="A83" s="561"/>
      <c r="B83" s="534" t="s">
        <v>359</v>
      </c>
      <c r="C83" s="1781" t="s">
        <v>217</v>
      </c>
      <c r="D83" s="1781"/>
      <c r="E83" s="560">
        <v>7210.33</v>
      </c>
    </row>
    <row r="84" spans="1:8" s="12" customFormat="1" ht="12.75" customHeight="1" x14ac:dyDescent="0.2">
      <c r="A84" s="561"/>
      <c r="B84" s="534"/>
      <c r="C84" s="1792" t="s">
        <v>213</v>
      </c>
      <c r="D84" s="1792"/>
      <c r="E84" s="562">
        <v>0</v>
      </c>
    </row>
    <row r="85" spans="1:8" s="12" customFormat="1" ht="12.75" customHeight="1" x14ac:dyDescent="0.2">
      <c r="A85" s="561"/>
      <c r="B85" s="534"/>
      <c r="C85" s="1781" t="s">
        <v>279</v>
      </c>
      <c r="D85" s="1781"/>
      <c r="E85" s="562">
        <v>4467</v>
      </c>
    </row>
    <row r="86" spans="1:8" s="12" customFormat="1" ht="12.75" customHeight="1" x14ac:dyDescent="0.2">
      <c r="A86" s="561"/>
      <c r="B86" s="534"/>
      <c r="C86" s="1783" t="s">
        <v>280</v>
      </c>
      <c r="D86" s="1783"/>
      <c r="E86" s="562">
        <v>78017.8</v>
      </c>
    </row>
    <row r="87" spans="1:8" s="12" customFormat="1" ht="12.75" customHeight="1" x14ac:dyDescent="0.2">
      <c r="A87" s="561"/>
      <c r="B87" s="550"/>
      <c r="C87" s="1791" t="s">
        <v>281</v>
      </c>
      <c r="D87" s="1791"/>
      <c r="E87" s="562">
        <v>2842.19</v>
      </c>
    </row>
    <row r="88" spans="1:8" s="12" customFormat="1" ht="12.75" customHeight="1" thickBot="1" x14ac:dyDescent="0.25">
      <c r="A88" s="561"/>
      <c r="B88" s="551"/>
      <c r="C88" s="552" t="s">
        <v>216</v>
      </c>
      <c r="D88" s="510"/>
      <c r="E88" s="563">
        <v>87462.68</v>
      </c>
    </row>
    <row r="89" spans="1:8" s="497" customFormat="1" ht="15" customHeight="1" thickBot="1" x14ac:dyDescent="0.25">
      <c r="A89" s="480">
        <v>924</v>
      </c>
      <c r="B89" s="1799" t="s">
        <v>575</v>
      </c>
      <c r="C89" s="1799"/>
      <c r="D89" s="1799"/>
      <c r="E89" s="553">
        <f>E90</f>
        <v>5800</v>
      </c>
      <c r="H89" s="743"/>
    </row>
    <row r="90" spans="1:8" s="12" customFormat="1" ht="12.75" customHeight="1" thickBot="1" x14ac:dyDescent="0.25">
      <c r="A90" s="481"/>
      <c r="B90" s="64" t="s">
        <v>203</v>
      </c>
      <c r="C90" s="67" t="s">
        <v>213</v>
      </c>
      <c r="D90" s="86"/>
      <c r="E90" s="564">
        <v>5800</v>
      </c>
      <c r="H90" s="82"/>
    </row>
    <row r="91" spans="1:8" s="458" customFormat="1" ht="15" customHeight="1" thickBot="1" x14ac:dyDescent="0.25">
      <c r="A91" s="480">
        <v>925</v>
      </c>
      <c r="B91" s="1799" t="s">
        <v>576</v>
      </c>
      <c r="C91" s="1799"/>
      <c r="D91" s="1799"/>
      <c r="E91" s="553">
        <f>E92</f>
        <v>9156.24</v>
      </c>
    </row>
    <row r="92" spans="1:8" s="12" customFormat="1" ht="12.75" customHeight="1" thickBot="1" x14ac:dyDescent="0.25">
      <c r="A92" s="481"/>
      <c r="B92" s="64" t="s">
        <v>203</v>
      </c>
      <c r="C92" s="1801" t="s">
        <v>218</v>
      </c>
      <c r="D92" s="1802"/>
      <c r="E92" s="565">
        <v>9156.24</v>
      </c>
    </row>
    <row r="93" spans="1:8" s="497" customFormat="1" ht="15" customHeight="1" thickBot="1" x14ac:dyDescent="0.25">
      <c r="A93" s="489">
        <v>926</v>
      </c>
      <c r="B93" s="1797" t="s">
        <v>577</v>
      </c>
      <c r="C93" s="1796"/>
      <c r="D93" s="1796"/>
      <c r="E93" s="553">
        <f>SUM(E94:E102)</f>
        <v>83113.63</v>
      </c>
    </row>
    <row r="94" spans="1:8" s="497" customFormat="1" x14ac:dyDescent="0.2">
      <c r="A94" s="744"/>
      <c r="B94" s="745" t="s">
        <v>203</v>
      </c>
      <c r="C94" s="1826" t="s">
        <v>834</v>
      </c>
      <c r="D94" s="1826"/>
      <c r="E94" s="754">
        <v>83113.63</v>
      </c>
    </row>
    <row r="95" spans="1:8" s="123" customFormat="1" ht="12.75" customHeight="1" x14ac:dyDescent="0.2">
      <c r="A95" s="730"/>
      <c r="B95" s="534"/>
      <c r="C95" s="1781" t="s">
        <v>278</v>
      </c>
      <c r="D95" s="1781"/>
      <c r="E95" s="585">
        <v>0</v>
      </c>
    </row>
    <row r="96" spans="1:8" s="123" customFormat="1" ht="12.75" customHeight="1" x14ac:dyDescent="0.2">
      <c r="A96" s="561"/>
      <c r="B96" s="534"/>
      <c r="C96" s="1783" t="s">
        <v>217</v>
      </c>
      <c r="D96" s="1798"/>
      <c r="E96" s="562">
        <v>0</v>
      </c>
    </row>
    <row r="97" spans="1:5" s="123" customFormat="1" ht="12.75" customHeight="1" x14ac:dyDescent="0.2">
      <c r="A97" s="730"/>
      <c r="B97" s="534"/>
      <c r="C97" s="1794" t="s">
        <v>279</v>
      </c>
      <c r="D97" s="1794"/>
      <c r="E97" s="562">
        <v>0</v>
      </c>
    </row>
    <row r="98" spans="1:5" s="123" customFormat="1" ht="12.75" customHeight="1" x14ac:dyDescent="0.2">
      <c r="A98" s="730"/>
      <c r="B98" s="534"/>
      <c r="C98" s="1783" t="s">
        <v>225</v>
      </c>
      <c r="D98" s="1783"/>
      <c r="E98" s="562">
        <v>0</v>
      </c>
    </row>
    <row r="99" spans="1:5" s="123" customFormat="1" ht="12.75" customHeight="1" x14ac:dyDescent="0.2">
      <c r="A99" s="730"/>
      <c r="B99" s="534"/>
      <c r="C99" s="1783" t="s">
        <v>280</v>
      </c>
      <c r="D99" s="1783"/>
      <c r="E99" s="562">
        <v>0</v>
      </c>
    </row>
    <row r="100" spans="1:5" s="123" customFormat="1" ht="12.75" customHeight="1" x14ac:dyDescent="0.2">
      <c r="A100" s="730"/>
      <c r="B100" s="534"/>
      <c r="C100" s="733" t="s">
        <v>281</v>
      </c>
      <c r="D100" s="733"/>
      <c r="E100" s="562">
        <v>0</v>
      </c>
    </row>
    <row r="101" spans="1:5" s="123" customFormat="1" ht="12.75" customHeight="1" x14ac:dyDescent="0.2">
      <c r="A101" s="730"/>
      <c r="B101" s="534"/>
      <c r="C101" s="1783" t="s">
        <v>283</v>
      </c>
      <c r="D101" s="1783"/>
      <c r="E101" s="562">
        <v>0</v>
      </c>
    </row>
    <row r="102" spans="1:5" s="123" customFormat="1" ht="12.75" customHeight="1" thickBot="1" x14ac:dyDescent="0.25">
      <c r="A102" s="731"/>
      <c r="B102" s="746"/>
      <c r="C102" s="747" t="s">
        <v>283</v>
      </c>
      <c r="D102" s="748"/>
      <c r="E102" s="749">
        <v>0</v>
      </c>
    </row>
    <row r="103" spans="1:5" s="458" customFormat="1" ht="15" customHeight="1" thickBot="1" x14ac:dyDescent="0.25">
      <c r="A103" s="489">
        <v>931</v>
      </c>
      <c r="B103" s="1797" t="s">
        <v>578</v>
      </c>
      <c r="C103" s="1796"/>
      <c r="D103" s="1796"/>
      <c r="E103" s="553">
        <f>E104</f>
        <v>10000</v>
      </c>
    </row>
    <row r="104" spans="1:5" s="12" customFormat="1" ht="12.75" customHeight="1" thickBot="1" x14ac:dyDescent="0.25">
      <c r="A104" s="483"/>
      <c r="B104" s="63" t="s">
        <v>203</v>
      </c>
      <c r="C104" s="1793" t="s">
        <v>278</v>
      </c>
      <c r="D104" s="1794"/>
      <c r="E104" s="565">
        <v>10000</v>
      </c>
    </row>
    <row r="105" spans="1:5" s="458" customFormat="1" ht="15" customHeight="1" thickBot="1" x14ac:dyDescent="0.25">
      <c r="A105" s="489">
        <v>932</v>
      </c>
      <c r="B105" s="1797" t="s">
        <v>579</v>
      </c>
      <c r="C105" s="1796"/>
      <c r="D105" s="1796"/>
      <c r="E105" s="553">
        <f>E106</f>
        <v>25800</v>
      </c>
    </row>
    <row r="106" spans="1:5" s="12" customFormat="1" ht="12.75" customHeight="1" thickBot="1" x14ac:dyDescent="0.25">
      <c r="A106" s="483"/>
      <c r="B106" s="63" t="s">
        <v>203</v>
      </c>
      <c r="C106" s="1793" t="s">
        <v>282</v>
      </c>
      <c r="D106" s="1794"/>
      <c r="E106" s="565">
        <v>25800</v>
      </c>
    </row>
    <row r="107" spans="1:5" s="458" customFormat="1" ht="15" customHeight="1" thickBot="1" x14ac:dyDescent="0.25">
      <c r="A107" s="489">
        <v>934</v>
      </c>
      <c r="B107" s="1797" t="s">
        <v>680</v>
      </c>
      <c r="C107" s="1796"/>
      <c r="D107" s="1796"/>
      <c r="E107" s="566">
        <f>E108</f>
        <v>2000</v>
      </c>
    </row>
    <row r="108" spans="1:5" s="12" customFormat="1" ht="12.75" customHeight="1" thickBot="1" x14ac:dyDescent="0.25">
      <c r="A108" s="483"/>
      <c r="B108" s="63" t="s">
        <v>203</v>
      </c>
      <c r="C108" s="1793" t="s">
        <v>282</v>
      </c>
      <c r="D108" s="1794"/>
      <c r="E108" s="567">
        <v>2000</v>
      </c>
    </row>
    <row r="109" spans="1:5" s="458" customFormat="1" ht="15" customHeight="1" thickBot="1" x14ac:dyDescent="0.25">
      <c r="A109" s="1795" t="s">
        <v>838</v>
      </c>
      <c r="B109" s="1796"/>
      <c r="C109" s="1796"/>
      <c r="D109" s="1796"/>
      <c r="E109" s="514">
        <f>SUM(E107,E105,E103,E93,E91,E89,E82,E72,E69,E51,E29,E21,E15,E13,E10,E46)</f>
        <v>3201041.9899999998</v>
      </c>
    </row>
    <row r="110" spans="1:5" s="496" customFormat="1" ht="15" customHeight="1" thickBot="1" x14ac:dyDescent="0.25">
      <c r="A110" s="1795" t="s">
        <v>207</v>
      </c>
      <c r="B110" s="1796"/>
      <c r="C110" s="1796"/>
      <c r="D110" s="1796"/>
      <c r="E110" s="514">
        <f>E111</f>
        <v>76435</v>
      </c>
    </row>
    <row r="111" spans="1:5" s="496" customFormat="1" ht="12.75" customHeight="1" thickBot="1" x14ac:dyDescent="0.25">
      <c r="A111" s="548"/>
      <c r="B111" s="549" t="s">
        <v>359</v>
      </c>
      <c r="C111" s="1787" t="s">
        <v>702</v>
      </c>
      <c r="D111" s="1788"/>
      <c r="E111" s="519">
        <v>76435</v>
      </c>
    </row>
    <row r="112" spans="1:5" s="76" customFormat="1" ht="22.5" customHeight="1" thickBot="1" x14ac:dyDescent="0.25">
      <c r="A112" s="1789" t="s">
        <v>839</v>
      </c>
      <c r="B112" s="1790"/>
      <c r="C112" s="1790"/>
      <c r="D112" s="1790"/>
      <c r="E112" s="554">
        <f>E109+E110</f>
        <v>3277476.9899999998</v>
      </c>
    </row>
    <row r="113" spans="1:8" s="12" customFormat="1" x14ac:dyDescent="0.2">
      <c r="A113" s="506"/>
      <c r="B113" s="506"/>
      <c r="C113" s="507"/>
      <c r="D113" s="508"/>
      <c r="E113" s="508"/>
      <c r="H113" s="82"/>
    </row>
    <row r="114" spans="1:8" s="12" customFormat="1" x14ac:dyDescent="0.2">
      <c r="A114" s="503"/>
      <c r="B114" s="503"/>
      <c r="C114" s="503"/>
      <c r="D114" s="503"/>
      <c r="E114" s="503"/>
    </row>
    <row r="115" spans="1:8" s="12" customFormat="1" x14ac:dyDescent="0.2">
      <c r="A115" s="503"/>
      <c r="B115" s="503"/>
      <c r="C115" s="503"/>
      <c r="D115" s="503"/>
      <c r="E115" s="503"/>
    </row>
    <row r="116" spans="1:8" s="12" customFormat="1" x14ac:dyDescent="0.2">
      <c r="A116" s="503"/>
      <c r="B116" s="503"/>
      <c r="C116" s="503"/>
      <c r="D116" s="503"/>
      <c r="E116" s="503"/>
    </row>
  </sheetData>
  <mergeCells count="94">
    <mergeCell ref="C94:D94"/>
    <mergeCell ref="B13:D13"/>
    <mergeCell ref="B15:D15"/>
    <mergeCell ref="C14:D14"/>
    <mergeCell ref="C17:D17"/>
    <mergeCell ref="B29:D29"/>
    <mergeCell ref="C18:D18"/>
    <mergeCell ref="C19:D19"/>
    <mergeCell ref="C20:D20"/>
    <mergeCell ref="C40:D40"/>
    <mergeCell ref="C41:D41"/>
    <mergeCell ref="C39:D39"/>
    <mergeCell ref="C34:D34"/>
    <mergeCell ref="B21:D21"/>
    <mergeCell ref="C37:D37"/>
    <mergeCell ref="C38:D38"/>
    <mergeCell ref="C35:D35"/>
    <mergeCell ref="C36:D36"/>
    <mergeCell ref="C26:D26"/>
    <mergeCell ref="C27:D27"/>
    <mergeCell ref="C28:D28"/>
    <mergeCell ref="C30:D30"/>
    <mergeCell ref="C31:D31"/>
    <mergeCell ref="C32:D32"/>
    <mergeCell ref="B69:D69"/>
    <mergeCell ref="C52:D52"/>
    <mergeCell ref="C53:D53"/>
    <mergeCell ref="C54:D54"/>
    <mergeCell ref="C55:D55"/>
    <mergeCell ref="C56:D56"/>
    <mergeCell ref="C57:D57"/>
    <mergeCell ref="C58:D58"/>
    <mergeCell ref="A64:E64"/>
    <mergeCell ref="A66:E66"/>
    <mergeCell ref="B51:D51"/>
    <mergeCell ref="C42:D42"/>
    <mergeCell ref="C43:D43"/>
    <mergeCell ref="C45:D45"/>
    <mergeCell ref="C44:D44"/>
    <mergeCell ref="B46:D46"/>
    <mergeCell ref="C47:D47"/>
    <mergeCell ref="A11:A12"/>
    <mergeCell ref="C12:D12"/>
    <mergeCell ref="C16:D16"/>
    <mergeCell ref="B103:D103"/>
    <mergeCell ref="B105:D105"/>
    <mergeCell ref="C22:D22"/>
    <mergeCell ref="C23:D23"/>
    <mergeCell ref="C24:D24"/>
    <mergeCell ref="C25:D25"/>
    <mergeCell ref="A62:E62"/>
    <mergeCell ref="A70:A71"/>
    <mergeCell ref="C71:D71"/>
    <mergeCell ref="B93:D93"/>
    <mergeCell ref="C74:D74"/>
    <mergeCell ref="C75:D75"/>
    <mergeCell ref="C76:D76"/>
    <mergeCell ref="A3:E3"/>
    <mergeCell ref="A5:E5"/>
    <mergeCell ref="A7:E7"/>
    <mergeCell ref="A9:D9"/>
    <mergeCell ref="B10:D10"/>
    <mergeCell ref="B91:D91"/>
    <mergeCell ref="B82:D82"/>
    <mergeCell ref="A110:D110"/>
    <mergeCell ref="C33:D33"/>
    <mergeCell ref="C78:D78"/>
    <mergeCell ref="C79:D79"/>
    <mergeCell ref="C81:D81"/>
    <mergeCell ref="C92:D92"/>
    <mergeCell ref="C99:D99"/>
    <mergeCell ref="C104:D104"/>
    <mergeCell ref="C106:D106"/>
    <mergeCell ref="C77:D77"/>
    <mergeCell ref="B72:D72"/>
    <mergeCell ref="A68:D68"/>
    <mergeCell ref="C73:D73"/>
    <mergeCell ref="C70:D70"/>
    <mergeCell ref="C111:D111"/>
    <mergeCell ref="A112:D112"/>
    <mergeCell ref="C83:D83"/>
    <mergeCell ref="C85:D85"/>
    <mergeCell ref="C86:D86"/>
    <mergeCell ref="C87:D87"/>
    <mergeCell ref="C84:D84"/>
    <mergeCell ref="C101:D101"/>
    <mergeCell ref="C108:D108"/>
    <mergeCell ref="A109:D109"/>
    <mergeCell ref="B107:D107"/>
    <mergeCell ref="C96:D96"/>
    <mergeCell ref="C97:D97"/>
    <mergeCell ref="C98:D98"/>
    <mergeCell ref="C95:D95"/>
    <mergeCell ref="B89:D89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J122"/>
  <sheetViews>
    <sheetView zoomScaleNormal="100" workbookViewId="0">
      <selection activeCell="I108" sqref="I108"/>
    </sheetView>
  </sheetViews>
  <sheetFormatPr defaultRowHeight="12.75" x14ac:dyDescent="0.2"/>
  <cols>
    <col min="1" max="1" width="1.5703125" customWidth="1"/>
    <col min="2" max="2" width="3.7109375" customWidth="1"/>
    <col min="3" max="3" width="34.7109375" customWidth="1"/>
    <col min="4" max="4" width="5" customWidth="1"/>
    <col min="5" max="5" width="30.85546875" customWidth="1"/>
    <col min="6" max="6" width="10.7109375" customWidth="1"/>
    <col min="7" max="7" width="9.85546875" style="9" bestFit="1" customWidth="1"/>
    <col min="8" max="8" width="11.7109375" bestFit="1" customWidth="1"/>
    <col min="10" max="10" width="9.7109375" bestFit="1" customWidth="1"/>
  </cols>
  <sheetData>
    <row r="1" spans="1:8" ht="12" customHeight="1" x14ac:dyDescent="0.2">
      <c r="F1" s="322" t="s">
        <v>1</v>
      </c>
    </row>
    <row r="2" spans="1:8" ht="8.25" customHeight="1" x14ac:dyDescent="0.2"/>
    <row r="3" spans="1:8" ht="15.75" x14ac:dyDescent="0.25">
      <c r="B3" s="1837" t="s">
        <v>841</v>
      </c>
      <c r="C3" s="1837"/>
      <c r="D3" s="1837"/>
      <c r="E3" s="1837"/>
      <c r="F3" s="1837"/>
    </row>
    <row r="4" spans="1:8" ht="7.5" customHeight="1" x14ac:dyDescent="0.2"/>
    <row r="5" spans="1:8" ht="13.5" customHeight="1" x14ac:dyDescent="0.2">
      <c r="B5" s="1838" t="s">
        <v>840</v>
      </c>
      <c r="C5" s="1838"/>
      <c r="D5" s="1838"/>
      <c r="E5" s="1838"/>
      <c r="F5" s="1838"/>
    </row>
    <row r="6" spans="1:8" ht="13.5" thickBot="1" x14ac:dyDescent="0.25">
      <c r="B6" s="15"/>
      <c r="C6" s="15"/>
      <c r="D6" s="15"/>
      <c r="E6" s="15"/>
      <c r="F6" s="15"/>
    </row>
    <row r="7" spans="1:8" ht="12.95" customHeight="1" thickBot="1" x14ac:dyDescent="0.25">
      <c r="A7" s="9"/>
      <c r="B7" s="32" t="s">
        <v>27</v>
      </c>
      <c r="C7" s="13" t="s">
        <v>28</v>
      </c>
      <c r="D7" s="13" t="s">
        <v>29</v>
      </c>
      <c r="E7" s="13" t="s">
        <v>30</v>
      </c>
      <c r="F7" s="33" t="s">
        <v>70</v>
      </c>
    </row>
    <row r="8" spans="1:8" ht="12.95" customHeight="1" x14ac:dyDescent="0.2">
      <c r="B8" s="87" t="s">
        <v>12</v>
      </c>
      <c r="C8" s="88" t="s">
        <v>213</v>
      </c>
      <c r="D8" s="89" t="s">
        <v>31</v>
      </c>
      <c r="E8" s="90" t="s">
        <v>32</v>
      </c>
      <c r="F8" s="91">
        <v>2970000</v>
      </c>
      <c r="H8" s="11"/>
    </row>
    <row r="9" spans="1:8" ht="12.95" customHeight="1" thickBot="1" x14ac:dyDescent="0.25">
      <c r="B9" s="92"/>
      <c r="C9" s="93"/>
      <c r="D9" s="94">
        <v>2141</v>
      </c>
      <c r="E9" s="95" t="s">
        <v>33</v>
      </c>
      <c r="F9" s="96">
        <v>0</v>
      </c>
    </row>
    <row r="10" spans="1:8" ht="12.95" customHeight="1" x14ac:dyDescent="0.2">
      <c r="B10" s="87" t="s">
        <v>8</v>
      </c>
      <c r="C10" s="88" t="s">
        <v>279</v>
      </c>
      <c r="D10" s="89">
        <v>1361</v>
      </c>
      <c r="E10" s="90" t="s">
        <v>365</v>
      </c>
      <c r="F10" s="91">
        <v>164</v>
      </c>
    </row>
    <row r="11" spans="1:8" ht="12.95" customHeight="1" thickBot="1" x14ac:dyDescent="0.25">
      <c r="B11" s="97"/>
      <c r="C11" s="98"/>
      <c r="D11" s="70">
        <v>2122</v>
      </c>
      <c r="E11" s="99" t="s">
        <v>88</v>
      </c>
      <c r="F11" s="100">
        <v>21500</v>
      </c>
      <c r="H11" s="4"/>
    </row>
    <row r="12" spans="1:8" ht="12.95" customHeight="1" thickBot="1" x14ac:dyDescent="0.25">
      <c r="B12" s="87" t="s">
        <v>10</v>
      </c>
      <c r="C12" s="88" t="s">
        <v>44</v>
      </c>
      <c r="D12" s="89">
        <v>2122</v>
      </c>
      <c r="E12" s="90" t="s">
        <v>88</v>
      </c>
      <c r="F12" s="91">
        <v>10073.859999999999</v>
      </c>
    </row>
    <row r="13" spans="1:8" ht="12.95" customHeight="1" x14ac:dyDescent="0.2">
      <c r="A13" s="8"/>
      <c r="B13" s="87" t="s">
        <v>15</v>
      </c>
      <c r="C13" s="88" t="s">
        <v>280</v>
      </c>
      <c r="D13" s="89">
        <v>1361</v>
      </c>
      <c r="E13" s="90" t="s">
        <v>365</v>
      </c>
      <c r="F13" s="91">
        <v>120</v>
      </c>
    </row>
    <row r="14" spans="1:8" ht="12.95" customHeight="1" x14ac:dyDescent="0.2">
      <c r="A14" s="8"/>
      <c r="B14" s="92"/>
      <c r="C14" s="93"/>
      <c r="D14" s="19" t="s">
        <v>36</v>
      </c>
      <c r="E14" s="18" t="s">
        <v>201</v>
      </c>
      <c r="F14" s="101">
        <v>14020</v>
      </c>
      <c r="H14" s="4"/>
    </row>
    <row r="15" spans="1:8" ht="12.95" customHeight="1" thickBot="1" x14ac:dyDescent="0.25">
      <c r="A15" s="8"/>
      <c r="B15" s="102"/>
      <c r="C15" s="98"/>
      <c r="D15" s="70">
        <v>4121</v>
      </c>
      <c r="E15" s="99" t="s">
        <v>34</v>
      </c>
      <c r="F15" s="100">
        <v>27570.880000000001</v>
      </c>
    </row>
    <row r="16" spans="1:8" ht="12.95" customHeight="1" thickBot="1" x14ac:dyDescent="0.25">
      <c r="B16" s="87" t="s">
        <v>13</v>
      </c>
      <c r="C16" s="88" t="s">
        <v>35</v>
      </c>
      <c r="D16" s="587">
        <v>2122</v>
      </c>
      <c r="E16" s="588" t="s">
        <v>88</v>
      </c>
      <c r="F16" s="649">
        <v>5198.79</v>
      </c>
      <c r="H16" s="4"/>
    </row>
    <row r="17" spans="2:10" ht="12.95" customHeight="1" x14ac:dyDescent="0.2">
      <c r="B17" s="87" t="s">
        <v>9</v>
      </c>
      <c r="C17" s="88" t="s">
        <v>282</v>
      </c>
      <c r="D17" s="89">
        <v>1332</v>
      </c>
      <c r="E17" s="650" t="s">
        <v>758</v>
      </c>
      <c r="F17" s="648">
        <v>300</v>
      </c>
      <c r="H17" s="336"/>
      <c r="I17" s="647"/>
    </row>
    <row r="18" spans="2:10" ht="12.95" customHeight="1" x14ac:dyDescent="0.2">
      <c r="B18" s="92"/>
      <c r="C18" s="93"/>
      <c r="D18" s="70">
        <v>1361</v>
      </c>
      <c r="E18" s="99" t="s">
        <v>365</v>
      </c>
      <c r="F18" s="100">
        <v>110</v>
      </c>
    </row>
    <row r="19" spans="2:10" ht="12.95" customHeight="1" x14ac:dyDescent="0.2">
      <c r="B19" s="92"/>
      <c r="C19" s="103"/>
      <c r="D19" s="70">
        <v>2122</v>
      </c>
      <c r="E19" s="99" t="s">
        <v>88</v>
      </c>
      <c r="F19" s="100">
        <v>232</v>
      </c>
    </row>
    <row r="20" spans="2:10" ht="12.95" customHeight="1" thickBot="1" x14ac:dyDescent="0.25">
      <c r="B20" s="102"/>
      <c r="C20" s="651"/>
      <c r="D20" s="110">
        <v>1357</v>
      </c>
      <c r="E20" s="111" t="s">
        <v>182</v>
      </c>
      <c r="F20" s="121">
        <v>18000</v>
      </c>
    </row>
    <row r="21" spans="2:10" ht="12.95" customHeight="1" thickBot="1" x14ac:dyDescent="0.25">
      <c r="B21" s="104" t="s">
        <v>17</v>
      </c>
      <c r="C21" s="105" t="s">
        <v>283</v>
      </c>
      <c r="D21" s="106">
        <v>1361</v>
      </c>
      <c r="E21" s="107" t="s">
        <v>365</v>
      </c>
      <c r="F21" s="108">
        <v>80</v>
      </c>
    </row>
    <row r="22" spans="2:10" ht="12.95" customHeight="1" thickBot="1" x14ac:dyDescent="0.25">
      <c r="B22" s="92" t="s">
        <v>20</v>
      </c>
      <c r="C22" s="93" t="s">
        <v>25</v>
      </c>
      <c r="D22" s="587">
        <v>1361</v>
      </c>
      <c r="E22" s="588" t="s">
        <v>365</v>
      </c>
      <c r="F22" s="119">
        <v>6</v>
      </c>
    </row>
    <row r="23" spans="2:10" ht="12.95" customHeight="1" x14ac:dyDescent="0.2">
      <c r="B23" s="87" t="s">
        <v>89</v>
      </c>
      <c r="C23" s="589" t="s">
        <v>214</v>
      </c>
      <c r="D23" s="89">
        <v>1361</v>
      </c>
      <c r="E23" s="90" t="s">
        <v>365</v>
      </c>
      <c r="F23" s="91">
        <v>80</v>
      </c>
    </row>
    <row r="24" spans="2:10" ht="12.95" customHeight="1" thickBot="1" x14ac:dyDescent="0.25">
      <c r="B24" s="102"/>
      <c r="C24" s="590"/>
      <c r="D24" s="591">
        <v>2324</v>
      </c>
      <c r="E24" s="586" t="s">
        <v>734</v>
      </c>
      <c r="F24" s="109">
        <v>640</v>
      </c>
    </row>
    <row r="25" spans="2:10" ht="12.95" customHeight="1" thickBot="1" x14ac:dyDescent="0.25">
      <c r="B25" s="102" t="s">
        <v>196</v>
      </c>
      <c r="C25" s="98" t="s">
        <v>215</v>
      </c>
      <c r="D25" s="110">
        <v>1361</v>
      </c>
      <c r="E25" s="111" t="s">
        <v>365</v>
      </c>
      <c r="F25" s="109">
        <v>40</v>
      </c>
    </row>
    <row r="26" spans="2:10" ht="12.95" customHeight="1" x14ac:dyDescent="0.2">
      <c r="B26" s="87" t="s">
        <v>197</v>
      </c>
      <c r="C26" s="88" t="s">
        <v>218</v>
      </c>
      <c r="D26" s="89" t="s">
        <v>36</v>
      </c>
      <c r="E26" s="90" t="s">
        <v>201</v>
      </c>
      <c r="F26" s="91">
        <v>19303.46</v>
      </c>
    </row>
    <row r="27" spans="2:10" ht="12.95" customHeight="1" thickBot="1" x14ac:dyDescent="0.25">
      <c r="B27" s="102"/>
      <c r="C27" s="98"/>
      <c r="D27" s="110">
        <v>4112</v>
      </c>
      <c r="E27" s="111" t="s">
        <v>37</v>
      </c>
      <c r="F27" s="756">
        <v>100038</v>
      </c>
    </row>
    <row r="28" spans="2:10" s="8" customFormat="1" ht="23.25" thickBot="1" x14ac:dyDescent="0.25">
      <c r="B28" s="1839" t="s">
        <v>257</v>
      </c>
      <c r="C28" s="1840"/>
      <c r="D28" s="651">
        <v>8115</v>
      </c>
      <c r="E28" s="755" t="s">
        <v>831</v>
      </c>
      <c r="F28" s="757">
        <v>90000</v>
      </c>
      <c r="G28" s="702"/>
    </row>
    <row r="29" spans="2:10" s="12" customFormat="1" ht="16.5" customHeight="1" thickBot="1" x14ac:dyDescent="0.25">
      <c r="B29" s="1835" t="s">
        <v>842</v>
      </c>
      <c r="C29" s="1836"/>
      <c r="D29" s="333" t="s">
        <v>75</v>
      </c>
      <c r="E29" s="334" t="s">
        <v>38</v>
      </c>
      <c r="F29" s="335">
        <f>SUM(F8:F28)</f>
        <v>3277476.9899999998</v>
      </c>
      <c r="G29" s="123"/>
      <c r="J29" s="82"/>
    </row>
    <row r="30" spans="2:10" ht="12.6" customHeight="1" x14ac:dyDescent="0.2">
      <c r="B30" s="14"/>
      <c r="C30" s="50"/>
      <c r="D30" s="14"/>
      <c r="E30" s="50"/>
      <c r="F30" s="51"/>
    </row>
    <row r="31" spans="2:10" ht="13.5" customHeight="1" x14ac:dyDescent="0.2">
      <c r="B31" s="1838" t="s">
        <v>843</v>
      </c>
      <c r="C31" s="1838"/>
      <c r="D31" s="1838"/>
      <c r="E31" s="1838"/>
      <c r="F31" s="1838"/>
      <c r="I31" s="4"/>
    </row>
    <row r="32" spans="2:10" ht="13.5" thickBot="1" x14ac:dyDescent="0.25">
      <c r="B32" s="15"/>
      <c r="C32" s="15"/>
      <c r="D32" s="15"/>
      <c r="E32" s="15"/>
      <c r="F32" s="15"/>
    </row>
    <row r="33" spans="2:8" ht="12.95" customHeight="1" thickBot="1" x14ac:dyDescent="0.25">
      <c r="B33" s="7" t="s">
        <v>27</v>
      </c>
      <c r="C33" s="1" t="s">
        <v>28</v>
      </c>
      <c r="D33" s="1" t="s">
        <v>208</v>
      </c>
      <c r="E33" s="1" t="s">
        <v>39</v>
      </c>
      <c r="F33" s="33" t="s">
        <v>70</v>
      </c>
    </row>
    <row r="34" spans="2:8" ht="12.95" customHeight="1" x14ac:dyDescent="0.2">
      <c r="B34" s="87" t="s">
        <v>11</v>
      </c>
      <c r="C34" s="88" t="s">
        <v>278</v>
      </c>
      <c r="D34" s="89">
        <v>910</v>
      </c>
      <c r="E34" s="90" t="s">
        <v>209</v>
      </c>
      <c r="F34" s="91">
        <v>4924.8</v>
      </c>
      <c r="G34" s="10"/>
      <c r="H34" s="4"/>
    </row>
    <row r="35" spans="2:8" ht="12.95" customHeight="1" x14ac:dyDescent="0.2">
      <c r="B35" s="92"/>
      <c r="C35" s="93"/>
      <c r="D35" s="19">
        <v>914</v>
      </c>
      <c r="E35" s="18" t="s">
        <v>224</v>
      </c>
      <c r="F35" s="101">
        <v>14568.2</v>
      </c>
    </row>
    <row r="36" spans="2:8" ht="12.95" customHeight="1" x14ac:dyDescent="0.2">
      <c r="B36" s="92"/>
      <c r="C36" s="93"/>
      <c r="D36" s="94">
        <v>915</v>
      </c>
      <c r="E36" s="95" t="s">
        <v>844</v>
      </c>
      <c r="F36" s="101">
        <v>650</v>
      </c>
    </row>
    <row r="37" spans="2:8" ht="12.95" customHeight="1" x14ac:dyDescent="0.2">
      <c r="B37" s="92"/>
      <c r="C37" s="93"/>
      <c r="D37" s="94">
        <v>917</v>
      </c>
      <c r="E37" s="95" t="s">
        <v>375</v>
      </c>
      <c r="F37" s="101">
        <v>11500</v>
      </c>
    </row>
    <row r="38" spans="2:8" ht="12.95" customHeight="1" x14ac:dyDescent="0.2">
      <c r="B38" s="92"/>
      <c r="C38" s="93"/>
      <c r="D38" s="94">
        <v>926</v>
      </c>
      <c r="E38" s="95" t="s">
        <v>323</v>
      </c>
      <c r="F38" s="101">
        <v>0</v>
      </c>
    </row>
    <row r="39" spans="2:8" ht="12.95" customHeight="1" thickBot="1" x14ac:dyDescent="0.25">
      <c r="B39" s="102"/>
      <c r="C39" s="98"/>
      <c r="D39" s="112">
        <v>931</v>
      </c>
      <c r="E39" s="113" t="s">
        <v>408</v>
      </c>
      <c r="F39" s="65">
        <v>10000</v>
      </c>
      <c r="H39" s="4"/>
    </row>
    <row r="40" spans="2:8" ht="12.95" customHeight="1" x14ac:dyDescent="0.2">
      <c r="B40" s="87" t="s">
        <v>16</v>
      </c>
      <c r="C40" s="88" t="s">
        <v>217</v>
      </c>
      <c r="D40" s="89">
        <v>914</v>
      </c>
      <c r="E40" s="90" t="s">
        <v>224</v>
      </c>
      <c r="F40" s="91">
        <v>8100.5</v>
      </c>
      <c r="G40" s="10"/>
      <c r="H40" s="4"/>
    </row>
    <row r="41" spans="2:8" ht="12.95" customHeight="1" x14ac:dyDescent="0.2">
      <c r="B41" s="92"/>
      <c r="C41" s="93"/>
      <c r="D41" s="94">
        <v>917</v>
      </c>
      <c r="E41" s="95" t="s">
        <v>375</v>
      </c>
      <c r="F41" s="100">
        <v>20516</v>
      </c>
    </row>
    <row r="42" spans="2:8" ht="12.95" customHeight="1" x14ac:dyDescent="0.2">
      <c r="B42" s="92"/>
      <c r="C42" s="93"/>
      <c r="D42" s="19">
        <v>923</v>
      </c>
      <c r="E42" s="18" t="s">
        <v>80</v>
      </c>
      <c r="F42" s="101">
        <v>7210.33</v>
      </c>
    </row>
    <row r="43" spans="2:8" ht="12.95" customHeight="1" thickBot="1" x14ac:dyDescent="0.25">
      <c r="B43" s="92"/>
      <c r="C43" s="93"/>
      <c r="D43" s="70">
        <v>926</v>
      </c>
      <c r="E43" s="99" t="s">
        <v>323</v>
      </c>
      <c r="F43" s="109">
        <v>0</v>
      </c>
      <c r="H43" s="4"/>
    </row>
    <row r="44" spans="2:8" ht="12.95" customHeight="1" x14ac:dyDescent="0.2">
      <c r="B44" s="87" t="s">
        <v>12</v>
      </c>
      <c r="C44" s="88" t="s">
        <v>213</v>
      </c>
      <c r="D44" s="89">
        <v>914</v>
      </c>
      <c r="E44" s="90" t="s">
        <v>224</v>
      </c>
      <c r="F44" s="91">
        <v>11540</v>
      </c>
      <c r="G44" s="10"/>
      <c r="H44" s="4"/>
    </row>
    <row r="45" spans="2:8" ht="12.95" customHeight="1" x14ac:dyDescent="0.2">
      <c r="B45" s="92"/>
      <c r="C45" s="93"/>
      <c r="D45" s="19">
        <v>919</v>
      </c>
      <c r="E45" s="18" t="s">
        <v>322</v>
      </c>
      <c r="F45" s="101">
        <v>43200</v>
      </c>
    </row>
    <row r="46" spans="2:8" ht="12.95" customHeight="1" x14ac:dyDescent="0.2">
      <c r="B46" s="92"/>
      <c r="C46" s="93"/>
      <c r="D46" s="19">
        <v>924</v>
      </c>
      <c r="E46" s="18" t="s">
        <v>87</v>
      </c>
      <c r="F46" s="101">
        <v>5800</v>
      </c>
    </row>
    <row r="47" spans="2:8" ht="12.95" customHeight="1" thickBot="1" x14ac:dyDescent="0.25">
      <c r="B47" s="102"/>
      <c r="C47" s="98"/>
      <c r="D47" s="758">
        <v>926</v>
      </c>
      <c r="E47" s="759" t="s">
        <v>845</v>
      </c>
      <c r="F47" s="109">
        <v>83113.63</v>
      </c>
      <c r="H47" s="4"/>
    </row>
    <row r="48" spans="2:8" ht="12.95" customHeight="1" x14ac:dyDescent="0.2">
      <c r="B48" s="87" t="s">
        <v>8</v>
      </c>
      <c r="C48" s="88" t="s">
        <v>279</v>
      </c>
      <c r="D48" s="89">
        <v>912</v>
      </c>
      <c r="E48" s="90" t="s">
        <v>444</v>
      </c>
      <c r="F48" s="91">
        <v>5100</v>
      </c>
      <c r="G48" s="10"/>
      <c r="H48" s="4"/>
    </row>
    <row r="49" spans="1:8" ht="12.95" customHeight="1" x14ac:dyDescent="0.2">
      <c r="B49" s="92"/>
      <c r="C49" s="93"/>
      <c r="D49" s="70">
        <v>913</v>
      </c>
      <c r="E49" s="99" t="s">
        <v>18</v>
      </c>
      <c r="F49" s="100">
        <v>276009.84999999998</v>
      </c>
      <c r="H49" s="4"/>
    </row>
    <row r="50" spans="1:8" ht="12.95" customHeight="1" x14ac:dyDescent="0.2">
      <c r="B50" s="92"/>
      <c r="C50" s="93"/>
      <c r="D50" s="19">
        <v>914</v>
      </c>
      <c r="E50" s="18" t="s">
        <v>224</v>
      </c>
      <c r="F50" s="101">
        <v>5220</v>
      </c>
    </row>
    <row r="51" spans="1:8" ht="12.95" customHeight="1" x14ac:dyDescent="0.2">
      <c r="B51" s="92"/>
      <c r="C51" s="93"/>
      <c r="D51" s="94">
        <v>915</v>
      </c>
      <c r="E51" s="95" t="s">
        <v>844</v>
      </c>
      <c r="F51" s="101">
        <v>5980</v>
      </c>
    </row>
    <row r="52" spans="1:8" ht="12.95" customHeight="1" x14ac:dyDescent="0.2">
      <c r="B52" s="92"/>
      <c r="C52" s="93"/>
      <c r="D52" s="94">
        <v>917</v>
      </c>
      <c r="E52" s="95" t="s">
        <v>375</v>
      </c>
      <c r="F52" s="101">
        <v>9280</v>
      </c>
    </row>
    <row r="53" spans="1:8" ht="12.95" customHeight="1" x14ac:dyDescent="0.2">
      <c r="B53" s="92"/>
      <c r="C53" s="93"/>
      <c r="D53" s="19">
        <v>920</v>
      </c>
      <c r="E53" s="18" t="s">
        <v>227</v>
      </c>
      <c r="F53" s="101">
        <v>20000</v>
      </c>
    </row>
    <row r="54" spans="1:8" ht="12.95" customHeight="1" x14ac:dyDescent="0.2">
      <c r="B54" s="92"/>
      <c r="C54" s="93"/>
      <c r="D54" s="19">
        <v>923</v>
      </c>
      <c r="E54" s="18" t="s">
        <v>80</v>
      </c>
      <c r="F54" s="101">
        <v>4467</v>
      </c>
    </row>
    <row r="55" spans="1:8" ht="12.95" customHeight="1" thickBot="1" x14ac:dyDescent="0.25">
      <c r="B55" s="92"/>
      <c r="C55" s="93"/>
      <c r="D55" s="94">
        <v>926</v>
      </c>
      <c r="E55" s="95" t="s">
        <v>323</v>
      </c>
      <c r="F55" s="101">
        <v>0</v>
      </c>
      <c r="H55" s="4"/>
    </row>
    <row r="56" spans="1:8" ht="12.95" customHeight="1" x14ac:dyDescent="0.2">
      <c r="B56" s="87" t="s">
        <v>10</v>
      </c>
      <c r="C56" s="114" t="s">
        <v>225</v>
      </c>
      <c r="D56" s="89">
        <v>912</v>
      </c>
      <c r="E56" s="90" t="s">
        <v>444</v>
      </c>
      <c r="F56" s="91">
        <v>5000</v>
      </c>
      <c r="G56" s="10"/>
      <c r="H56" s="4"/>
    </row>
    <row r="57" spans="1:8" ht="12.95" customHeight="1" x14ac:dyDescent="0.2">
      <c r="B57" s="92"/>
      <c r="C57" s="115"/>
      <c r="D57" s="70">
        <v>913</v>
      </c>
      <c r="E57" s="99" t="s">
        <v>18</v>
      </c>
      <c r="F57" s="100">
        <v>138663.17000000001</v>
      </c>
      <c r="H57" s="4"/>
    </row>
    <row r="58" spans="1:8" ht="12.95" customHeight="1" x14ac:dyDescent="0.2">
      <c r="B58" s="92"/>
      <c r="C58" s="115"/>
      <c r="D58" s="19">
        <v>914</v>
      </c>
      <c r="E58" s="18" t="s">
        <v>224</v>
      </c>
      <c r="F58" s="101">
        <v>9755</v>
      </c>
    </row>
    <row r="59" spans="1:8" ht="12.95" customHeight="1" x14ac:dyDescent="0.2">
      <c r="B59" s="92"/>
      <c r="C59" s="115"/>
      <c r="D59" s="19">
        <v>917</v>
      </c>
      <c r="E59" s="18" t="s">
        <v>375</v>
      </c>
      <c r="F59" s="101">
        <v>17255</v>
      </c>
    </row>
    <row r="60" spans="1:8" ht="12.95" customHeight="1" x14ac:dyDescent="0.2">
      <c r="B60" s="92"/>
      <c r="C60" s="115"/>
      <c r="D60" s="19">
        <v>920</v>
      </c>
      <c r="E60" s="18" t="s">
        <v>227</v>
      </c>
      <c r="F60" s="101">
        <v>25000</v>
      </c>
    </row>
    <row r="61" spans="1:8" ht="12.95" customHeight="1" thickBot="1" x14ac:dyDescent="0.25">
      <c r="B61" s="102"/>
      <c r="C61" s="116"/>
      <c r="D61" s="110">
        <v>926</v>
      </c>
      <c r="E61" s="111" t="s">
        <v>323</v>
      </c>
      <c r="F61" s="109">
        <v>0</v>
      </c>
      <c r="H61" s="4"/>
    </row>
    <row r="62" spans="1:8" s="5" customFormat="1" ht="12" customHeight="1" x14ac:dyDescent="0.2">
      <c r="A62"/>
      <c r="B62"/>
      <c r="C62"/>
      <c r="D62"/>
      <c r="F62" s="323" t="s">
        <v>2</v>
      </c>
      <c r="G62" s="34"/>
    </row>
    <row r="63" spans="1:8" s="5" customFormat="1" ht="7.5" customHeight="1" x14ac:dyDescent="0.2">
      <c r="A63"/>
      <c r="B63"/>
      <c r="C63"/>
      <c r="D63"/>
      <c r="E63"/>
      <c r="F63"/>
      <c r="G63" s="34"/>
    </row>
    <row r="64" spans="1:8" s="5" customFormat="1" ht="15.75" customHeight="1" x14ac:dyDescent="0.25">
      <c r="A64"/>
      <c r="B64" s="1837" t="s">
        <v>841</v>
      </c>
      <c r="C64" s="1837"/>
      <c r="D64" s="1837"/>
      <c r="E64" s="1837"/>
      <c r="F64" s="1837"/>
      <c r="G64" s="34"/>
    </row>
    <row r="65" spans="1:9" s="5" customFormat="1" ht="7.5" customHeight="1" x14ac:dyDescent="0.2">
      <c r="A65"/>
      <c r="B65"/>
      <c r="C65"/>
      <c r="D65"/>
      <c r="E65"/>
      <c r="F65"/>
      <c r="G65" s="34"/>
    </row>
    <row r="66" spans="1:9" s="5" customFormat="1" ht="14.25" customHeight="1" x14ac:dyDescent="0.2">
      <c r="A66"/>
      <c r="B66" s="1838" t="s">
        <v>843</v>
      </c>
      <c r="C66" s="1838"/>
      <c r="D66" s="1838"/>
      <c r="E66" s="1838"/>
      <c r="F66" s="1838"/>
      <c r="G66" s="34"/>
    </row>
    <row r="67" spans="1:9" s="5" customFormat="1" ht="12.95" customHeight="1" thickBot="1" x14ac:dyDescent="0.25">
      <c r="B67" s="117"/>
      <c r="C67" s="118"/>
      <c r="D67" s="16"/>
      <c r="E67" s="34"/>
      <c r="F67" s="20"/>
      <c r="G67" s="34"/>
    </row>
    <row r="68" spans="1:9" s="5" customFormat="1" ht="12.95" customHeight="1" thickBot="1" x14ac:dyDescent="0.25">
      <c r="B68" s="7" t="s">
        <v>27</v>
      </c>
      <c r="C68" s="1" t="s">
        <v>28</v>
      </c>
      <c r="D68" s="1" t="s">
        <v>208</v>
      </c>
      <c r="E68" s="1" t="s">
        <v>39</v>
      </c>
      <c r="F68" s="2" t="s">
        <v>70</v>
      </c>
      <c r="G68" s="34"/>
    </row>
    <row r="69" spans="1:9" ht="12.95" customHeight="1" x14ac:dyDescent="0.2">
      <c r="A69" s="5"/>
      <c r="B69" s="92" t="s">
        <v>15</v>
      </c>
      <c r="C69" s="93" t="s">
        <v>280</v>
      </c>
      <c r="D69" s="89">
        <v>912</v>
      </c>
      <c r="E69" s="90" t="s">
        <v>444</v>
      </c>
      <c r="F69" s="100">
        <v>6950</v>
      </c>
      <c r="G69" s="20"/>
      <c r="H69" s="4"/>
      <c r="I69" s="5"/>
    </row>
    <row r="70" spans="1:9" ht="12.95" customHeight="1" x14ac:dyDescent="0.2">
      <c r="A70" s="5"/>
      <c r="B70" s="92"/>
      <c r="C70" s="93"/>
      <c r="D70" s="70">
        <v>913</v>
      </c>
      <c r="E70" s="99" t="s">
        <v>18</v>
      </c>
      <c r="F70" s="100">
        <v>311136</v>
      </c>
      <c r="G70" s="34"/>
      <c r="H70" s="6"/>
      <c r="I70" s="5"/>
    </row>
    <row r="71" spans="1:9" ht="12.95" customHeight="1" x14ac:dyDescent="0.2">
      <c r="A71" s="5"/>
      <c r="B71" s="92"/>
      <c r="C71" s="93"/>
      <c r="D71" s="19">
        <v>914</v>
      </c>
      <c r="E71" s="18" t="s">
        <v>224</v>
      </c>
      <c r="F71" s="101">
        <v>761990.34</v>
      </c>
      <c r="G71" s="34"/>
      <c r="H71" s="6"/>
      <c r="I71" s="5"/>
    </row>
    <row r="72" spans="1:9" ht="12.95" customHeight="1" x14ac:dyDescent="0.2">
      <c r="A72" s="5"/>
      <c r="B72" s="92"/>
      <c r="C72" s="93"/>
      <c r="D72" s="19">
        <v>917</v>
      </c>
      <c r="E72" s="18" t="s">
        <v>375</v>
      </c>
      <c r="F72" s="101">
        <v>35700</v>
      </c>
      <c r="G72" s="34"/>
      <c r="H72" s="6"/>
      <c r="I72" s="5"/>
    </row>
    <row r="73" spans="1:9" ht="12.95" customHeight="1" x14ac:dyDescent="0.2">
      <c r="A73" s="5"/>
      <c r="B73" s="92"/>
      <c r="C73" s="93"/>
      <c r="D73" s="19">
        <v>920</v>
      </c>
      <c r="E73" s="18" t="s">
        <v>227</v>
      </c>
      <c r="F73" s="101">
        <v>115000</v>
      </c>
      <c r="G73" s="34"/>
      <c r="H73" s="6"/>
      <c r="I73" s="5"/>
    </row>
    <row r="74" spans="1:9" ht="12.95" customHeight="1" x14ac:dyDescent="0.2">
      <c r="A74" s="5"/>
      <c r="B74" s="92"/>
      <c r="C74" s="93"/>
      <c r="D74" s="19">
        <v>923</v>
      </c>
      <c r="E74" s="18" t="s">
        <v>80</v>
      </c>
      <c r="F74" s="101">
        <v>78017.8</v>
      </c>
      <c r="G74" s="34"/>
      <c r="H74" s="6"/>
      <c r="I74" s="5"/>
    </row>
    <row r="75" spans="1:9" ht="12.95" customHeight="1" thickBot="1" x14ac:dyDescent="0.25">
      <c r="A75" s="5"/>
      <c r="B75" s="102"/>
      <c r="C75" s="98"/>
      <c r="D75" s="94">
        <v>926</v>
      </c>
      <c r="E75" s="95" t="s">
        <v>323</v>
      </c>
      <c r="F75" s="101">
        <v>0</v>
      </c>
      <c r="G75" s="34"/>
      <c r="H75" s="6"/>
      <c r="I75" s="5"/>
    </row>
    <row r="76" spans="1:9" ht="12.95" customHeight="1" x14ac:dyDescent="0.2">
      <c r="A76" s="5"/>
      <c r="B76" s="87" t="s">
        <v>13</v>
      </c>
      <c r="C76" s="1831" t="s">
        <v>281</v>
      </c>
      <c r="D76" s="89">
        <v>912</v>
      </c>
      <c r="E76" s="90" t="s">
        <v>444</v>
      </c>
      <c r="F76" s="91">
        <v>4200</v>
      </c>
      <c r="G76" s="20"/>
      <c r="H76" s="4"/>
      <c r="I76" s="5"/>
    </row>
    <row r="77" spans="1:9" ht="12.95" customHeight="1" x14ac:dyDescent="0.2">
      <c r="A77" s="5"/>
      <c r="B77" s="92"/>
      <c r="C77" s="1832"/>
      <c r="D77" s="70">
        <v>913</v>
      </c>
      <c r="E77" s="99" t="s">
        <v>18</v>
      </c>
      <c r="F77" s="100">
        <v>131980.79999999999</v>
      </c>
      <c r="G77" s="34"/>
      <c r="H77" s="6"/>
      <c r="I77" s="5"/>
    </row>
    <row r="78" spans="1:9" ht="12.95" customHeight="1" x14ac:dyDescent="0.2">
      <c r="A78" s="5"/>
      <c r="B78" s="92"/>
      <c r="C78" s="1832"/>
      <c r="D78" s="19">
        <v>914</v>
      </c>
      <c r="E78" s="18" t="s">
        <v>224</v>
      </c>
      <c r="F78" s="101">
        <v>11764</v>
      </c>
      <c r="G78" s="34"/>
      <c r="H78" s="6"/>
      <c r="I78" s="5"/>
    </row>
    <row r="79" spans="1:9" ht="12.95" customHeight="1" x14ac:dyDescent="0.2">
      <c r="A79" s="5"/>
      <c r="B79" s="92"/>
      <c r="C79" s="1832"/>
      <c r="D79" s="94">
        <v>915</v>
      </c>
      <c r="E79" s="95" t="s">
        <v>844</v>
      </c>
      <c r="F79" s="101">
        <v>4460</v>
      </c>
      <c r="G79" s="34"/>
      <c r="H79" s="6"/>
      <c r="I79" s="5"/>
    </row>
    <row r="80" spans="1:9" ht="12.95" customHeight="1" x14ac:dyDescent="0.2">
      <c r="A80" s="5"/>
      <c r="B80" s="92"/>
      <c r="C80" s="1832"/>
      <c r="D80" s="94">
        <v>917</v>
      </c>
      <c r="E80" s="95" t="s">
        <v>375</v>
      </c>
      <c r="F80" s="101">
        <v>14039.5</v>
      </c>
      <c r="G80" s="34"/>
      <c r="H80" s="6"/>
      <c r="I80" s="5"/>
    </row>
    <row r="81" spans="1:9" ht="12.95" customHeight="1" x14ac:dyDescent="0.2">
      <c r="A81" s="5"/>
      <c r="B81" s="92"/>
      <c r="C81" s="327"/>
      <c r="D81" s="19">
        <v>923</v>
      </c>
      <c r="E81" s="18" t="s">
        <v>80</v>
      </c>
      <c r="F81" s="119">
        <v>2842.19</v>
      </c>
      <c r="G81" s="34"/>
      <c r="H81" s="6"/>
      <c r="I81" s="5"/>
    </row>
    <row r="82" spans="1:9" ht="12.95" customHeight="1" thickBot="1" x14ac:dyDescent="0.25">
      <c r="A82" s="5"/>
      <c r="B82" s="102"/>
      <c r="C82" s="98"/>
      <c r="D82" s="112">
        <v>926</v>
      </c>
      <c r="E82" s="113" t="s">
        <v>323</v>
      </c>
      <c r="F82" s="121">
        <v>0</v>
      </c>
      <c r="G82" s="34"/>
      <c r="H82" s="6"/>
      <c r="I82" s="5"/>
    </row>
    <row r="83" spans="1:9" ht="12.95" customHeight="1" x14ac:dyDescent="0.2">
      <c r="B83" s="92" t="s">
        <v>9</v>
      </c>
      <c r="C83" s="115" t="s">
        <v>282</v>
      </c>
      <c r="D83" s="70">
        <v>913</v>
      </c>
      <c r="E83" s="99" t="s">
        <v>18</v>
      </c>
      <c r="F83" s="100">
        <v>5760</v>
      </c>
      <c r="G83" s="10"/>
      <c r="H83" s="4"/>
    </row>
    <row r="84" spans="1:9" ht="12.95" customHeight="1" x14ac:dyDescent="0.2">
      <c r="B84" s="92"/>
      <c r="C84" s="115"/>
      <c r="D84" s="70">
        <v>914</v>
      </c>
      <c r="E84" s="99" t="s">
        <v>224</v>
      </c>
      <c r="F84" s="100">
        <v>8633.7000000000007</v>
      </c>
    </row>
    <row r="85" spans="1:9" ht="12.95" customHeight="1" x14ac:dyDescent="0.2">
      <c r="B85" s="92"/>
      <c r="C85" s="115"/>
      <c r="D85" s="94">
        <v>915</v>
      </c>
      <c r="E85" s="95" t="s">
        <v>844</v>
      </c>
      <c r="F85" s="100">
        <v>100</v>
      </c>
    </row>
    <row r="86" spans="1:9" ht="12.95" customHeight="1" x14ac:dyDescent="0.2">
      <c r="B86" s="92"/>
      <c r="C86" s="115"/>
      <c r="D86" s="94">
        <v>917</v>
      </c>
      <c r="E86" s="95" t="s">
        <v>375</v>
      </c>
      <c r="F86" s="100">
        <v>5864.65</v>
      </c>
    </row>
    <row r="87" spans="1:9" ht="12.95" customHeight="1" x14ac:dyDescent="0.2">
      <c r="B87" s="92"/>
      <c r="C87" s="115"/>
      <c r="D87" s="19">
        <v>920</v>
      </c>
      <c r="E87" s="18" t="s">
        <v>227</v>
      </c>
      <c r="F87" s="101">
        <v>1792.5</v>
      </c>
    </row>
    <row r="88" spans="1:9" ht="12.95" customHeight="1" x14ac:dyDescent="0.2">
      <c r="B88" s="92"/>
      <c r="C88" s="115"/>
      <c r="D88" s="19">
        <v>926</v>
      </c>
      <c r="E88" s="18" t="s">
        <v>323</v>
      </c>
      <c r="F88" s="101">
        <v>0</v>
      </c>
    </row>
    <row r="89" spans="1:9" ht="12.95" customHeight="1" x14ac:dyDescent="0.2">
      <c r="B89" s="92"/>
      <c r="C89" s="115"/>
      <c r="D89" s="70">
        <v>932</v>
      </c>
      <c r="E89" s="99" t="s">
        <v>19</v>
      </c>
      <c r="F89" s="100">
        <v>25800</v>
      </c>
    </row>
    <row r="90" spans="1:9" ht="12.95" customHeight="1" thickBot="1" x14ac:dyDescent="0.25">
      <c r="B90" s="92"/>
      <c r="C90" s="120"/>
      <c r="D90" s="70">
        <v>934</v>
      </c>
      <c r="E90" s="99" t="s">
        <v>409</v>
      </c>
      <c r="F90" s="101">
        <v>2000</v>
      </c>
      <c r="H90" s="4"/>
    </row>
    <row r="91" spans="1:9" ht="12.95" customHeight="1" x14ac:dyDescent="0.2">
      <c r="B91" s="87" t="s">
        <v>17</v>
      </c>
      <c r="C91" s="88" t="s">
        <v>283</v>
      </c>
      <c r="D91" s="89">
        <v>912</v>
      </c>
      <c r="E91" s="90" t="s">
        <v>444</v>
      </c>
      <c r="F91" s="91">
        <v>2000</v>
      </c>
      <c r="G91" s="10"/>
      <c r="H91" s="4"/>
    </row>
    <row r="92" spans="1:9" ht="12.95" customHeight="1" x14ac:dyDescent="0.2">
      <c r="B92" s="92"/>
      <c r="C92" s="93"/>
      <c r="D92" s="70">
        <v>913</v>
      </c>
      <c r="E92" s="99" t="s">
        <v>18</v>
      </c>
      <c r="F92" s="100">
        <v>208103.04000000001</v>
      </c>
      <c r="H92" s="4"/>
    </row>
    <row r="93" spans="1:9" ht="12.95" customHeight="1" x14ac:dyDescent="0.2">
      <c r="B93" s="92"/>
      <c r="C93" s="93"/>
      <c r="D93" s="19">
        <v>914</v>
      </c>
      <c r="E93" s="18" t="s">
        <v>224</v>
      </c>
      <c r="F93" s="101">
        <v>3767.33</v>
      </c>
    </row>
    <row r="94" spans="1:9" ht="12.95" customHeight="1" x14ac:dyDescent="0.2">
      <c r="B94" s="92"/>
      <c r="C94" s="93"/>
      <c r="D94" s="94">
        <v>917</v>
      </c>
      <c r="E94" s="95" t="s">
        <v>375</v>
      </c>
      <c r="F94" s="119">
        <v>44600</v>
      </c>
    </row>
    <row r="95" spans="1:9" ht="12.95" customHeight="1" x14ac:dyDescent="0.2">
      <c r="B95" s="92"/>
      <c r="C95" s="93"/>
      <c r="D95" s="19">
        <v>920</v>
      </c>
      <c r="E95" s="18" t="s">
        <v>227</v>
      </c>
      <c r="F95" s="101">
        <v>112777.78</v>
      </c>
    </row>
    <row r="96" spans="1:9" ht="12.95" customHeight="1" thickBot="1" x14ac:dyDescent="0.25">
      <c r="B96" s="92"/>
      <c r="C96" s="93"/>
      <c r="D96" s="94">
        <v>926</v>
      </c>
      <c r="E96" s="95" t="s">
        <v>323</v>
      </c>
      <c r="F96" s="101">
        <v>0</v>
      </c>
      <c r="H96" s="4"/>
    </row>
    <row r="97" spans="2:8" ht="12.95" customHeight="1" thickBot="1" x14ac:dyDescent="0.25">
      <c r="B97" s="104" t="s">
        <v>20</v>
      </c>
      <c r="C97" s="105" t="s">
        <v>25</v>
      </c>
      <c r="D97" s="106">
        <v>914</v>
      </c>
      <c r="E97" s="107" t="s">
        <v>224</v>
      </c>
      <c r="F97" s="108">
        <v>4750</v>
      </c>
      <c r="H97" s="4"/>
    </row>
    <row r="98" spans="2:8" ht="12.95" customHeight="1" x14ac:dyDescent="0.2">
      <c r="B98" s="87">
        <v>11</v>
      </c>
      <c r="C98" s="88" t="s">
        <v>284</v>
      </c>
      <c r="D98" s="89">
        <v>914</v>
      </c>
      <c r="E98" s="90" t="s">
        <v>21</v>
      </c>
      <c r="F98" s="91">
        <v>365</v>
      </c>
      <c r="H98" s="4"/>
    </row>
    <row r="99" spans="2:8" ht="12.95" customHeight="1" thickBot="1" x14ac:dyDescent="0.25">
      <c r="B99" s="92"/>
      <c r="C99" s="93"/>
      <c r="D99" s="19">
        <v>920</v>
      </c>
      <c r="E99" s="18" t="s">
        <v>227</v>
      </c>
      <c r="F99" s="100">
        <v>500</v>
      </c>
      <c r="H99" s="4"/>
    </row>
    <row r="100" spans="2:8" ht="12.95" customHeight="1" x14ac:dyDescent="0.2">
      <c r="B100" s="87">
        <v>12</v>
      </c>
      <c r="C100" s="88" t="s">
        <v>214</v>
      </c>
      <c r="D100" s="89">
        <v>914</v>
      </c>
      <c r="E100" s="90" t="s">
        <v>224</v>
      </c>
      <c r="F100" s="91">
        <v>43538.91</v>
      </c>
      <c r="G100" s="10"/>
      <c r="H100" s="4"/>
    </row>
    <row r="101" spans="2:8" ht="12.95" customHeight="1" thickBot="1" x14ac:dyDescent="0.25">
      <c r="B101" s="92"/>
      <c r="C101" s="93"/>
      <c r="D101" s="19">
        <v>920</v>
      </c>
      <c r="E101" s="18" t="s">
        <v>227</v>
      </c>
      <c r="F101" s="100">
        <v>8500</v>
      </c>
      <c r="H101" s="4"/>
    </row>
    <row r="102" spans="2:8" ht="12.95" customHeight="1" x14ac:dyDescent="0.2">
      <c r="B102" s="87" t="s">
        <v>14</v>
      </c>
      <c r="C102" s="88" t="s">
        <v>216</v>
      </c>
      <c r="D102" s="89">
        <v>914</v>
      </c>
      <c r="E102" s="90" t="s">
        <v>224</v>
      </c>
      <c r="F102" s="91">
        <v>4250</v>
      </c>
      <c r="G102" s="10"/>
      <c r="H102" s="4"/>
    </row>
    <row r="103" spans="2:8" ht="12.95" customHeight="1" x14ac:dyDescent="0.2">
      <c r="B103" s="92"/>
      <c r="C103" s="93"/>
      <c r="D103" s="19">
        <v>920</v>
      </c>
      <c r="E103" s="18" t="s">
        <v>227</v>
      </c>
      <c r="F103" s="100">
        <v>350</v>
      </c>
      <c r="H103" s="4"/>
    </row>
    <row r="104" spans="2:8" ht="12.95" customHeight="1" thickBot="1" x14ac:dyDescent="0.25">
      <c r="B104" s="92"/>
      <c r="C104" s="93"/>
      <c r="D104" s="19">
        <v>923</v>
      </c>
      <c r="E104" s="18" t="s">
        <v>80</v>
      </c>
      <c r="F104" s="100">
        <v>87462.68</v>
      </c>
      <c r="H104" s="4"/>
    </row>
    <row r="105" spans="2:8" ht="12.95" customHeight="1" x14ac:dyDescent="0.2">
      <c r="B105" s="87">
        <v>15</v>
      </c>
      <c r="C105" s="88" t="s">
        <v>218</v>
      </c>
      <c r="D105" s="89">
        <v>910</v>
      </c>
      <c r="E105" s="90" t="s">
        <v>22</v>
      </c>
      <c r="F105" s="91">
        <v>30804.2</v>
      </c>
      <c r="G105" s="10"/>
      <c r="H105" s="4"/>
    </row>
    <row r="106" spans="2:8" ht="12.95" customHeight="1" x14ac:dyDescent="0.2">
      <c r="B106" s="92"/>
      <c r="C106" s="93"/>
      <c r="D106" s="19">
        <v>911</v>
      </c>
      <c r="E106" s="18" t="s">
        <v>210</v>
      </c>
      <c r="F106" s="101">
        <v>325331.84999999998</v>
      </c>
    </row>
    <row r="107" spans="2:8" ht="12.95" customHeight="1" x14ac:dyDescent="0.2">
      <c r="B107" s="92"/>
      <c r="C107" s="93"/>
      <c r="D107" s="19">
        <v>914</v>
      </c>
      <c r="E107" s="18" t="s">
        <v>224</v>
      </c>
      <c r="F107" s="96">
        <v>12400</v>
      </c>
    </row>
    <row r="108" spans="2:8" ht="12.95" customHeight="1" x14ac:dyDescent="0.2">
      <c r="B108" s="92"/>
      <c r="C108" s="93"/>
      <c r="D108" s="19">
        <v>920</v>
      </c>
      <c r="E108" s="18" t="s">
        <v>227</v>
      </c>
      <c r="F108" s="96">
        <v>17000</v>
      </c>
    </row>
    <row r="109" spans="2:8" ht="12.95" customHeight="1" thickBot="1" x14ac:dyDescent="0.25">
      <c r="B109" s="102"/>
      <c r="C109" s="98"/>
      <c r="D109" s="112">
        <v>925</v>
      </c>
      <c r="E109" s="113" t="s">
        <v>23</v>
      </c>
      <c r="F109" s="121">
        <v>9156.24</v>
      </c>
      <c r="H109" s="4"/>
    </row>
    <row r="110" spans="2:8" ht="12.95" customHeight="1" thickBot="1" x14ac:dyDescent="0.25">
      <c r="B110" s="104" t="s">
        <v>78</v>
      </c>
      <c r="C110" s="105" t="s">
        <v>79</v>
      </c>
      <c r="D110" s="106">
        <v>913</v>
      </c>
      <c r="E110" s="107" t="s">
        <v>18</v>
      </c>
      <c r="F110" s="108">
        <v>11500</v>
      </c>
    </row>
    <row r="111" spans="2:8" ht="12.95" customHeight="1" thickBot="1" x14ac:dyDescent="0.25">
      <c r="B111" s="104" t="s">
        <v>763</v>
      </c>
      <c r="C111" s="105" t="s">
        <v>777</v>
      </c>
      <c r="D111" s="106">
        <v>914</v>
      </c>
      <c r="E111" s="107" t="s">
        <v>224</v>
      </c>
      <c r="F111" s="108">
        <v>3000</v>
      </c>
      <c r="H111" s="4"/>
    </row>
    <row r="112" spans="2:8" ht="13.5" thickBot="1" x14ac:dyDescent="0.25">
      <c r="B112" s="1833" t="s">
        <v>257</v>
      </c>
      <c r="C112" s="1834"/>
      <c r="D112" s="106"/>
      <c r="E112" s="107"/>
      <c r="F112" s="108">
        <v>76435</v>
      </c>
      <c r="H112" s="4"/>
    </row>
    <row r="113" spans="2:8" s="12" customFormat="1" ht="17.25" customHeight="1" thickBot="1" x14ac:dyDescent="0.25">
      <c r="B113" s="1835" t="s">
        <v>842</v>
      </c>
      <c r="C113" s="1836"/>
      <c r="D113" s="333" t="s">
        <v>75</v>
      </c>
      <c r="E113" s="334" t="s">
        <v>24</v>
      </c>
      <c r="F113" s="335">
        <f>SUM(F34:F61)+SUM(F69:F112)</f>
        <v>3277476.9899999998</v>
      </c>
      <c r="G113" s="123"/>
      <c r="H113" s="82"/>
    </row>
    <row r="114" spans="2:8" x14ac:dyDescent="0.2">
      <c r="B114" s="122"/>
      <c r="C114" s="9"/>
      <c r="D114" s="9"/>
      <c r="E114" s="9"/>
      <c r="F114" s="9"/>
    </row>
    <row r="115" spans="2:8" x14ac:dyDescent="0.2">
      <c r="B115" s="9"/>
      <c r="C115" s="9"/>
      <c r="D115" s="9"/>
      <c r="E115" s="9"/>
      <c r="F115" s="9"/>
    </row>
    <row r="116" spans="2:8" x14ac:dyDescent="0.2">
      <c r="B116" s="9"/>
      <c r="C116" s="9"/>
      <c r="D116" s="9"/>
      <c r="E116" s="9"/>
      <c r="F116" s="9"/>
    </row>
    <row r="117" spans="2:8" x14ac:dyDescent="0.2">
      <c r="B117" s="9"/>
      <c r="C117" s="9"/>
      <c r="D117" s="9"/>
      <c r="E117" s="9"/>
      <c r="F117" s="9"/>
    </row>
    <row r="118" spans="2:8" x14ac:dyDescent="0.2">
      <c r="B118" s="9"/>
      <c r="C118" s="9"/>
      <c r="D118" s="9"/>
      <c r="E118" s="9"/>
      <c r="F118" s="9"/>
    </row>
    <row r="119" spans="2:8" x14ac:dyDescent="0.2">
      <c r="B119" s="9"/>
      <c r="C119" s="9"/>
      <c r="D119" s="9"/>
      <c r="E119" s="9"/>
      <c r="F119" s="9"/>
    </row>
    <row r="120" spans="2:8" x14ac:dyDescent="0.2">
      <c r="B120" s="9"/>
      <c r="C120" s="9"/>
      <c r="D120" s="9"/>
      <c r="E120" s="9"/>
      <c r="F120" s="9"/>
    </row>
    <row r="121" spans="2:8" x14ac:dyDescent="0.2">
      <c r="B121" s="9"/>
      <c r="C121" s="9"/>
      <c r="D121" s="9"/>
      <c r="E121" s="9"/>
      <c r="F121" s="9"/>
    </row>
    <row r="122" spans="2:8" x14ac:dyDescent="0.2">
      <c r="B122" s="9"/>
      <c r="C122" s="9"/>
      <c r="D122" s="9"/>
      <c r="E122" s="9"/>
      <c r="F122" s="9"/>
    </row>
  </sheetData>
  <mergeCells count="10">
    <mergeCell ref="C76:C80"/>
    <mergeCell ref="B112:C112"/>
    <mergeCell ref="B113:C113"/>
    <mergeCell ref="B3:F3"/>
    <mergeCell ref="B5:F5"/>
    <mergeCell ref="B29:C29"/>
    <mergeCell ref="B31:F31"/>
    <mergeCell ref="B64:F64"/>
    <mergeCell ref="B66:F66"/>
    <mergeCell ref="B28:C28"/>
  </mergeCells>
  <printOptions horizontalCentered="1"/>
  <pageMargins left="0.59055118110236227" right="0.59055118110236227" top="0.59055118110236227" bottom="0.59055118110236227" header="0.51181102362204722" footer="0.31496062992125984"/>
  <pageSetup paperSize="9" scale="98" orientation="portrait" r:id="rId1"/>
  <headerFooter alignWithMargins="0"/>
  <rowBreaks count="1" manualBreakCount="1">
    <brk id="6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6748-6E1D-4D99-B18B-7C2A4B0B549F}">
  <sheetPr>
    <tabColor theme="6" tint="0.59999389629810485"/>
    <pageSetUpPr fitToPage="1"/>
  </sheetPr>
  <dimension ref="A1:J648"/>
  <sheetViews>
    <sheetView topLeftCell="A451" zoomScaleNormal="100" workbookViewId="0">
      <selection activeCell="L507" sqref="L507"/>
    </sheetView>
  </sheetViews>
  <sheetFormatPr defaultColWidth="9.140625" defaultRowHeight="12.75" x14ac:dyDescent="0.2"/>
  <cols>
    <col min="1" max="1" width="3.28515625" style="961" customWidth="1"/>
    <col min="2" max="2" width="1" style="961" customWidth="1"/>
    <col min="3" max="3" width="2.42578125" style="961" customWidth="1"/>
    <col min="4" max="4" width="48.85546875" style="961" customWidth="1"/>
    <col min="5" max="5" width="8.7109375" style="961" customWidth="1"/>
    <col min="6" max="6" width="9.5703125" style="961" customWidth="1"/>
    <col min="7" max="7" width="11.28515625" style="961" customWidth="1"/>
    <col min="8" max="8" width="13.42578125" style="1334" customWidth="1"/>
    <col min="9" max="16384" width="9.140625" style="961"/>
  </cols>
  <sheetData>
    <row r="1" spans="1:10" x14ac:dyDescent="0.2">
      <c r="H1" s="1333" t="s">
        <v>26</v>
      </c>
    </row>
    <row r="2" spans="1:10" ht="16.5" customHeight="1" x14ac:dyDescent="0.2">
      <c r="C2" s="1845" t="s">
        <v>90</v>
      </c>
      <c r="D2" s="1845"/>
      <c r="E2" s="1845"/>
      <c r="F2" s="1845"/>
      <c r="G2" s="1845"/>
      <c r="H2" s="1845"/>
    </row>
    <row r="3" spans="1:10" x14ac:dyDescent="0.2">
      <c r="C3" s="1846" t="s">
        <v>1709</v>
      </c>
      <c r="D3" s="1846"/>
      <c r="E3" s="1846"/>
      <c r="F3" s="1846"/>
      <c r="G3" s="1846"/>
      <c r="H3" s="1846"/>
      <c r="J3" s="960"/>
    </row>
    <row r="4" spans="1:10" ht="12" customHeight="1" thickBot="1" x14ac:dyDescent="0.25">
      <c r="J4" s="960"/>
    </row>
    <row r="5" spans="1:10" ht="34.5" customHeight="1" thickBot="1" x14ac:dyDescent="0.25">
      <c r="A5" s="1847" t="s">
        <v>6</v>
      </c>
      <c r="B5" s="1848"/>
      <c r="C5" s="1849"/>
      <c r="D5" s="1335" t="s">
        <v>7</v>
      </c>
      <c r="E5" s="1335" t="s">
        <v>638</v>
      </c>
      <c r="F5" s="1335" t="s">
        <v>138</v>
      </c>
      <c r="G5" s="1335" t="s">
        <v>140</v>
      </c>
      <c r="H5" s="1336" t="s">
        <v>139</v>
      </c>
    </row>
    <row r="6" spans="1:10" s="1343" customFormat="1" ht="15" customHeight="1" x14ac:dyDescent="0.2">
      <c r="A6" s="1337">
        <v>1</v>
      </c>
      <c r="B6" s="1338" t="s">
        <v>410</v>
      </c>
      <c r="C6" s="1339" t="s">
        <v>1206</v>
      </c>
      <c r="D6" s="1304" t="s">
        <v>1736</v>
      </c>
      <c r="E6" s="1340">
        <v>44208</v>
      </c>
      <c r="F6" s="1341" t="s">
        <v>1210</v>
      </c>
      <c r="G6" s="1342">
        <v>70428.77</v>
      </c>
      <c r="H6" s="1406" t="s">
        <v>1211</v>
      </c>
    </row>
    <row r="7" spans="1:10" s="1343" customFormat="1" ht="15" customHeight="1" x14ac:dyDescent="0.2">
      <c r="A7" s="1344">
        <v>2</v>
      </c>
      <c r="B7" s="1345" t="s">
        <v>410</v>
      </c>
      <c r="C7" s="1339" t="s">
        <v>1206</v>
      </c>
      <c r="D7" s="1346" t="s">
        <v>1737</v>
      </c>
      <c r="E7" s="1340">
        <v>44208</v>
      </c>
      <c r="F7" s="1347" t="s">
        <v>1212</v>
      </c>
      <c r="G7" s="998">
        <v>2870.54</v>
      </c>
      <c r="H7" s="1406" t="s">
        <v>1213</v>
      </c>
    </row>
    <row r="8" spans="1:10" s="1343" customFormat="1" ht="15" customHeight="1" x14ac:dyDescent="0.2">
      <c r="A8" s="1344">
        <v>3</v>
      </c>
      <c r="B8" s="1345" t="s">
        <v>410</v>
      </c>
      <c r="C8" s="1339" t="s">
        <v>1206</v>
      </c>
      <c r="D8" s="1304" t="s">
        <v>738</v>
      </c>
      <c r="E8" s="1340">
        <v>44208</v>
      </c>
      <c r="F8" s="1347" t="s">
        <v>1214</v>
      </c>
      <c r="G8" s="1348">
        <v>0</v>
      </c>
      <c r="H8" s="1406" t="s">
        <v>1215</v>
      </c>
    </row>
    <row r="9" spans="1:10" s="1343" customFormat="1" ht="15" customHeight="1" x14ac:dyDescent="0.2">
      <c r="A9" s="1344">
        <v>4</v>
      </c>
      <c r="B9" s="1345" t="s">
        <v>410</v>
      </c>
      <c r="C9" s="1339" t="s">
        <v>1206</v>
      </c>
      <c r="D9" s="1304" t="s">
        <v>1738</v>
      </c>
      <c r="E9" s="1340">
        <v>44215</v>
      </c>
      <c r="F9" s="1347" t="s">
        <v>1216</v>
      </c>
      <c r="G9" s="1348">
        <v>614.72</v>
      </c>
      <c r="H9" s="1406" t="s">
        <v>1739</v>
      </c>
    </row>
    <row r="10" spans="1:10" s="1343" customFormat="1" ht="15" customHeight="1" x14ac:dyDescent="0.2">
      <c r="A10" s="1344">
        <v>5</v>
      </c>
      <c r="B10" s="1345" t="s">
        <v>410</v>
      </c>
      <c r="C10" s="1339" t="s">
        <v>1206</v>
      </c>
      <c r="D10" s="1304" t="s">
        <v>1740</v>
      </c>
      <c r="E10" s="1340">
        <v>44222</v>
      </c>
      <c r="F10" s="1349" t="s">
        <v>1217</v>
      </c>
      <c r="G10" s="1348">
        <v>0</v>
      </c>
      <c r="H10" s="1406" t="s">
        <v>1213</v>
      </c>
    </row>
    <row r="11" spans="1:10" s="1343" customFormat="1" ht="15" customHeight="1" x14ac:dyDescent="0.2">
      <c r="A11" s="1344">
        <v>6</v>
      </c>
      <c r="B11" s="1345" t="s">
        <v>410</v>
      </c>
      <c r="C11" s="1339" t="s">
        <v>1206</v>
      </c>
      <c r="D11" s="1304" t="s">
        <v>1741</v>
      </c>
      <c r="E11" s="1340">
        <v>44208</v>
      </c>
      <c r="F11" s="1349" t="s">
        <v>1218</v>
      </c>
      <c r="G11" s="1348">
        <v>0</v>
      </c>
      <c r="H11" s="1406" t="s">
        <v>1742</v>
      </c>
    </row>
    <row r="12" spans="1:10" s="1343" customFormat="1" ht="15" customHeight="1" x14ac:dyDescent="0.2">
      <c r="A12" s="1344">
        <v>7</v>
      </c>
      <c r="B12" s="1345" t="s">
        <v>410</v>
      </c>
      <c r="C12" s="1339" t="s">
        <v>1206</v>
      </c>
      <c r="D12" s="1304" t="s">
        <v>1737</v>
      </c>
      <c r="E12" s="1340">
        <v>44208</v>
      </c>
      <c r="F12" s="1349" t="s">
        <v>1219</v>
      </c>
      <c r="G12" s="1348">
        <v>1396.61</v>
      </c>
      <c r="H12" s="1406" t="s">
        <v>1213</v>
      </c>
    </row>
    <row r="13" spans="1:10" s="1343" customFormat="1" ht="22.5" customHeight="1" x14ac:dyDescent="0.2">
      <c r="A13" s="1344">
        <v>8</v>
      </c>
      <c r="B13" s="1345" t="s">
        <v>410</v>
      </c>
      <c r="C13" s="1339" t="s">
        <v>1206</v>
      </c>
      <c r="D13" s="1304" t="s">
        <v>1743</v>
      </c>
      <c r="E13" s="1340">
        <v>44208</v>
      </c>
      <c r="F13" s="1349" t="s">
        <v>1220</v>
      </c>
      <c r="G13" s="1348">
        <v>117247.28</v>
      </c>
      <c r="H13" s="1406" t="s">
        <v>1742</v>
      </c>
    </row>
    <row r="14" spans="1:10" s="1343" customFormat="1" ht="22.5" customHeight="1" x14ac:dyDescent="0.2">
      <c r="A14" s="1344">
        <v>9</v>
      </c>
      <c r="B14" s="1345" t="s">
        <v>410</v>
      </c>
      <c r="C14" s="1339" t="s">
        <v>1206</v>
      </c>
      <c r="D14" s="990" t="s">
        <v>1744</v>
      </c>
      <c r="E14" s="1340">
        <v>44208</v>
      </c>
      <c r="F14" s="1349" t="s">
        <v>1221</v>
      </c>
      <c r="G14" s="1348">
        <v>3262.07</v>
      </c>
      <c r="H14" s="1406" t="s">
        <v>1745</v>
      </c>
    </row>
    <row r="15" spans="1:10" s="1343" customFormat="1" ht="22.5" customHeight="1" x14ac:dyDescent="0.2">
      <c r="A15" s="1344">
        <v>10</v>
      </c>
      <c r="B15" s="1345" t="s">
        <v>410</v>
      </c>
      <c r="C15" s="1339" t="s">
        <v>1206</v>
      </c>
      <c r="D15" s="1304" t="s">
        <v>1746</v>
      </c>
      <c r="E15" s="1340">
        <v>44215</v>
      </c>
      <c r="F15" s="1349" t="s">
        <v>1222</v>
      </c>
      <c r="G15" s="1348">
        <v>26700.38</v>
      </c>
      <c r="H15" s="1406" t="s">
        <v>1739</v>
      </c>
    </row>
    <row r="16" spans="1:10" s="1343" customFormat="1" ht="15" customHeight="1" x14ac:dyDescent="0.2">
      <c r="A16" s="1344">
        <v>11</v>
      </c>
      <c r="B16" s="1345" t="s">
        <v>410</v>
      </c>
      <c r="C16" s="1339" t="s">
        <v>1206</v>
      </c>
      <c r="D16" s="1304" t="s">
        <v>1747</v>
      </c>
      <c r="E16" s="1340">
        <v>44208</v>
      </c>
      <c r="F16" s="1347" t="s">
        <v>1223</v>
      </c>
      <c r="G16" s="1348">
        <v>5300.74</v>
      </c>
      <c r="H16" s="1406" t="s">
        <v>1224</v>
      </c>
    </row>
    <row r="17" spans="1:8" s="1343" customFormat="1" ht="15" customHeight="1" x14ac:dyDescent="0.2">
      <c r="A17" s="1344">
        <v>12</v>
      </c>
      <c r="B17" s="1345" t="s">
        <v>410</v>
      </c>
      <c r="C17" s="1339" t="s">
        <v>1206</v>
      </c>
      <c r="D17" s="1304" t="s">
        <v>1748</v>
      </c>
      <c r="E17" s="1340">
        <v>44208</v>
      </c>
      <c r="F17" s="1349" t="s">
        <v>1225</v>
      </c>
      <c r="G17" s="1348">
        <v>1280.78</v>
      </c>
      <c r="H17" s="1406" t="s">
        <v>1215</v>
      </c>
    </row>
    <row r="18" spans="1:8" s="1343" customFormat="1" ht="15" customHeight="1" x14ac:dyDescent="0.2">
      <c r="A18" s="1344">
        <v>13</v>
      </c>
      <c r="B18" s="1345" t="s">
        <v>410</v>
      </c>
      <c r="C18" s="1339" t="s">
        <v>1206</v>
      </c>
      <c r="D18" s="1304" t="s">
        <v>1749</v>
      </c>
      <c r="E18" s="1340">
        <v>44215</v>
      </c>
      <c r="F18" s="1349" t="s">
        <v>1226</v>
      </c>
      <c r="G18" s="1348">
        <v>169379.06</v>
      </c>
      <c r="H18" s="1406" t="s">
        <v>1750</v>
      </c>
    </row>
    <row r="19" spans="1:8" s="1343" customFormat="1" ht="15" customHeight="1" x14ac:dyDescent="0.2">
      <c r="A19" s="1344">
        <v>14</v>
      </c>
      <c r="B19" s="1345" t="s">
        <v>410</v>
      </c>
      <c r="C19" s="1339" t="s">
        <v>1206</v>
      </c>
      <c r="D19" s="1304" t="s">
        <v>141</v>
      </c>
      <c r="E19" s="1340">
        <v>44222</v>
      </c>
      <c r="F19" s="1349" t="s">
        <v>1227</v>
      </c>
      <c r="G19" s="1348">
        <v>63577.120000000003</v>
      </c>
      <c r="H19" s="1406" t="s">
        <v>1211</v>
      </c>
    </row>
    <row r="20" spans="1:8" s="1343" customFormat="1" ht="15" customHeight="1" x14ac:dyDescent="0.2">
      <c r="A20" s="1344">
        <v>15</v>
      </c>
      <c r="B20" s="1345" t="s">
        <v>410</v>
      </c>
      <c r="C20" s="1339" t="s">
        <v>1206</v>
      </c>
      <c r="D20" s="1304" t="s">
        <v>1736</v>
      </c>
      <c r="E20" s="1340">
        <v>44215</v>
      </c>
      <c r="F20" s="1349" t="s">
        <v>1228</v>
      </c>
      <c r="G20" s="1348">
        <v>6000.71</v>
      </c>
      <c r="H20" s="1406" t="s">
        <v>1211</v>
      </c>
    </row>
    <row r="21" spans="1:8" s="1343" customFormat="1" ht="22.5" customHeight="1" x14ac:dyDescent="0.2">
      <c r="A21" s="1344">
        <v>16</v>
      </c>
      <c r="B21" s="1345" t="s">
        <v>410</v>
      </c>
      <c r="C21" s="1339" t="s">
        <v>1206</v>
      </c>
      <c r="D21" s="990" t="s">
        <v>1751</v>
      </c>
      <c r="E21" s="1340">
        <v>44215</v>
      </c>
      <c r="F21" s="1347" t="s">
        <v>1229</v>
      </c>
      <c r="G21" s="1348">
        <v>35060.42</v>
      </c>
      <c r="H21" s="1406" t="s">
        <v>1213</v>
      </c>
    </row>
    <row r="22" spans="1:8" s="1343" customFormat="1" ht="22.5" customHeight="1" x14ac:dyDescent="0.2">
      <c r="A22" s="1344">
        <v>17</v>
      </c>
      <c r="B22" s="1345" t="s">
        <v>410</v>
      </c>
      <c r="C22" s="1339" t="s">
        <v>1206</v>
      </c>
      <c r="D22" s="1304" t="s">
        <v>1752</v>
      </c>
      <c r="E22" s="1340">
        <v>44215</v>
      </c>
      <c r="F22" s="1347" t="s">
        <v>1230</v>
      </c>
      <c r="G22" s="1348">
        <v>2.71</v>
      </c>
      <c r="H22" s="1406" t="s">
        <v>1211</v>
      </c>
    </row>
    <row r="23" spans="1:8" s="1343" customFormat="1" ht="15" customHeight="1" x14ac:dyDescent="0.2">
      <c r="A23" s="1344">
        <v>18</v>
      </c>
      <c r="B23" s="1345" t="s">
        <v>410</v>
      </c>
      <c r="C23" s="1339" t="s">
        <v>1206</v>
      </c>
      <c r="D23" s="1304" t="s">
        <v>746</v>
      </c>
      <c r="E23" s="1340">
        <v>44215</v>
      </c>
      <c r="F23" s="1349" t="s">
        <v>1231</v>
      </c>
      <c r="G23" s="1348">
        <v>0</v>
      </c>
      <c r="H23" s="1406" t="s">
        <v>1742</v>
      </c>
    </row>
    <row r="24" spans="1:8" s="1343" customFormat="1" ht="15" customHeight="1" x14ac:dyDescent="0.2">
      <c r="A24" s="1344">
        <v>19</v>
      </c>
      <c r="B24" s="1345" t="s">
        <v>410</v>
      </c>
      <c r="C24" s="1339" t="s">
        <v>1206</v>
      </c>
      <c r="D24" s="990" t="s">
        <v>1753</v>
      </c>
      <c r="E24" s="1340">
        <v>44215</v>
      </c>
      <c r="F24" s="1349" t="s">
        <v>1232</v>
      </c>
      <c r="G24" s="1348">
        <v>0</v>
      </c>
      <c r="H24" s="1406" t="s">
        <v>1742</v>
      </c>
    </row>
    <row r="25" spans="1:8" s="1343" customFormat="1" ht="15" customHeight="1" x14ac:dyDescent="0.2">
      <c r="A25" s="1344">
        <v>20</v>
      </c>
      <c r="B25" s="1345" t="s">
        <v>410</v>
      </c>
      <c r="C25" s="1339" t="s">
        <v>1206</v>
      </c>
      <c r="D25" s="1304" t="s">
        <v>1754</v>
      </c>
      <c r="E25" s="1340">
        <v>44215</v>
      </c>
      <c r="F25" s="1347" t="s">
        <v>1233</v>
      </c>
      <c r="G25" s="1348">
        <v>8734.5499999999993</v>
      </c>
      <c r="H25" s="1406" t="s">
        <v>1224</v>
      </c>
    </row>
    <row r="26" spans="1:8" s="1343" customFormat="1" ht="22.5" customHeight="1" x14ac:dyDescent="0.2">
      <c r="A26" s="1344">
        <v>21</v>
      </c>
      <c r="B26" s="1345" t="s">
        <v>410</v>
      </c>
      <c r="C26" s="1339" t="s">
        <v>1206</v>
      </c>
      <c r="D26" s="1304" t="s">
        <v>1755</v>
      </c>
      <c r="E26" s="1340">
        <v>44215</v>
      </c>
      <c r="F26" s="1349" t="s">
        <v>1756</v>
      </c>
      <c r="G26" s="1348">
        <v>0</v>
      </c>
      <c r="H26" s="1406" t="s">
        <v>1235</v>
      </c>
    </row>
    <row r="27" spans="1:8" s="1343" customFormat="1" ht="15" customHeight="1" x14ac:dyDescent="0.2">
      <c r="A27" s="1344">
        <v>22</v>
      </c>
      <c r="B27" s="1345" t="s">
        <v>410</v>
      </c>
      <c r="C27" s="1339" t="s">
        <v>1206</v>
      </c>
      <c r="D27" s="1346" t="s">
        <v>1757</v>
      </c>
      <c r="E27" s="1340">
        <v>44215</v>
      </c>
      <c r="F27" s="1349" t="s">
        <v>1234</v>
      </c>
      <c r="G27" s="1348">
        <v>18160.189999999999</v>
      </c>
      <c r="H27" s="1406" t="s">
        <v>1215</v>
      </c>
    </row>
    <row r="28" spans="1:8" s="1343" customFormat="1" ht="15" customHeight="1" x14ac:dyDescent="0.2">
      <c r="A28" s="1344">
        <v>23</v>
      </c>
      <c r="B28" s="1345" t="s">
        <v>410</v>
      </c>
      <c r="C28" s="1339" t="s">
        <v>1206</v>
      </c>
      <c r="D28" s="1304" t="s">
        <v>1758</v>
      </c>
      <c r="E28" s="1340">
        <v>44215</v>
      </c>
      <c r="F28" s="1349" t="s">
        <v>1236</v>
      </c>
      <c r="G28" s="1348">
        <v>19.39</v>
      </c>
      <c r="H28" s="1406" t="s">
        <v>1750</v>
      </c>
    </row>
    <row r="29" spans="1:8" s="1343" customFormat="1" ht="15" customHeight="1" x14ac:dyDescent="0.2">
      <c r="A29" s="1344">
        <v>24</v>
      </c>
      <c r="B29" s="1345" t="s">
        <v>410</v>
      </c>
      <c r="C29" s="1339" t="s">
        <v>1206</v>
      </c>
      <c r="D29" s="1304" t="s">
        <v>1759</v>
      </c>
      <c r="E29" s="1340">
        <v>44236</v>
      </c>
      <c r="F29" s="1349" t="s">
        <v>1237</v>
      </c>
      <c r="G29" s="1348">
        <v>29012.89</v>
      </c>
      <c r="H29" s="1406" t="s">
        <v>1745</v>
      </c>
    </row>
    <row r="30" spans="1:8" s="1343" customFormat="1" ht="15" customHeight="1" x14ac:dyDescent="0.2">
      <c r="A30" s="1344">
        <v>25</v>
      </c>
      <c r="B30" s="1345" t="s">
        <v>410</v>
      </c>
      <c r="C30" s="1339" t="s">
        <v>1206</v>
      </c>
      <c r="D30" s="1304" t="s">
        <v>1760</v>
      </c>
      <c r="E30" s="1340">
        <v>44250</v>
      </c>
      <c r="F30" s="1349" t="s">
        <v>1238</v>
      </c>
      <c r="G30" s="1348">
        <v>0</v>
      </c>
      <c r="H30" s="1406" t="s">
        <v>1745</v>
      </c>
    </row>
    <row r="31" spans="1:8" s="1343" customFormat="1" ht="15" customHeight="1" x14ac:dyDescent="0.2">
      <c r="A31" s="1344">
        <v>26</v>
      </c>
      <c r="B31" s="1345" t="s">
        <v>410</v>
      </c>
      <c r="C31" s="1339" t="s">
        <v>1206</v>
      </c>
      <c r="D31" s="1346" t="s">
        <v>1761</v>
      </c>
      <c r="E31" s="1340">
        <v>44236</v>
      </c>
      <c r="F31" s="1349" t="s">
        <v>1239</v>
      </c>
      <c r="G31" s="1348">
        <v>4260.87</v>
      </c>
      <c r="H31" s="1406" t="s">
        <v>1224</v>
      </c>
    </row>
    <row r="32" spans="1:8" s="1343" customFormat="1" ht="15" customHeight="1" x14ac:dyDescent="0.2">
      <c r="A32" s="1344">
        <v>27</v>
      </c>
      <c r="B32" s="1345" t="s">
        <v>410</v>
      </c>
      <c r="C32" s="1339" t="s">
        <v>1206</v>
      </c>
      <c r="D32" s="990" t="s">
        <v>1762</v>
      </c>
      <c r="E32" s="1340">
        <v>44250</v>
      </c>
      <c r="F32" s="1349" t="s">
        <v>1240</v>
      </c>
      <c r="G32" s="1348">
        <v>0</v>
      </c>
      <c r="H32" s="1406" t="s">
        <v>1745</v>
      </c>
    </row>
    <row r="33" spans="1:8" s="1343" customFormat="1" ht="15" customHeight="1" x14ac:dyDescent="0.2">
      <c r="A33" s="1344">
        <v>28</v>
      </c>
      <c r="B33" s="1345" t="s">
        <v>410</v>
      </c>
      <c r="C33" s="1339" t="s">
        <v>1206</v>
      </c>
      <c r="D33" s="1304" t="s">
        <v>1763</v>
      </c>
      <c r="E33" s="1340">
        <v>44236</v>
      </c>
      <c r="F33" s="1349" t="s">
        <v>1241</v>
      </c>
      <c r="G33" s="1348">
        <v>14027.15</v>
      </c>
      <c r="H33" s="1406" t="s">
        <v>1745</v>
      </c>
    </row>
    <row r="34" spans="1:8" s="1343" customFormat="1" ht="15" customHeight="1" x14ac:dyDescent="0.2">
      <c r="A34" s="1344">
        <v>29</v>
      </c>
      <c r="B34" s="1345" t="s">
        <v>410</v>
      </c>
      <c r="C34" s="1339" t="s">
        <v>1206</v>
      </c>
      <c r="D34" s="1304" t="s">
        <v>1764</v>
      </c>
      <c r="E34" s="1340">
        <v>44236</v>
      </c>
      <c r="F34" s="1349" t="s">
        <v>1242</v>
      </c>
      <c r="G34" s="1348">
        <v>10292.59</v>
      </c>
      <c r="H34" s="1406" t="s">
        <v>1211</v>
      </c>
    </row>
    <row r="35" spans="1:8" s="1343" customFormat="1" ht="15" customHeight="1" x14ac:dyDescent="0.2">
      <c r="A35" s="1344">
        <v>30</v>
      </c>
      <c r="B35" s="1345" t="s">
        <v>410</v>
      </c>
      <c r="C35" s="1339" t="s">
        <v>1206</v>
      </c>
      <c r="D35" s="990" t="s">
        <v>1765</v>
      </c>
      <c r="E35" s="1350">
        <v>44236</v>
      </c>
      <c r="F35" s="1349" t="s">
        <v>1243</v>
      </c>
      <c r="G35" s="1348">
        <v>3379.69</v>
      </c>
      <c r="H35" s="1406" t="s">
        <v>1211</v>
      </c>
    </row>
    <row r="36" spans="1:8" s="1343" customFormat="1" ht="15" customHeight="1" x14ac:dyDescent="0.2">
      <c r="A36" s="1337">
        <v>31</v>
      </c>
      <c r="B36" s="1338" t="s">
        <v>410</v>
      </c>
      <c r="C36" s="1339" t="s">
        <v>1206</v>
      </c>
      <c r="D36" s="1351" t="s">
        <v>1766</v>
      </c>
      <c r="E36" s="1340">
        <v>44236</v>
      </c>
      <c r="F36" s="1352" t="s">
        <v>1244</v>
      </c>
      <c r="G36" s="1353">
        <v>2331.31</v>
      </c>
      <c r="H36" s="1406" t="s">
        <v>1211</v>
      </c>
    </row>
    <row r="37" spans="1:8" ht="15" customHeight="1" x14ac:dyDescent="0.2">
      <c r="A37" s="1344">
        <v>32</v>
      </c>
      <c r="B37" s="1345" t="s">
        <v>410</v>
      </c>
      <c r="C37" s="1339" t="s">
        <v>1206</v>
      </c>
      <c r="D37" s="1346" t="s">
        <v>1737</v>
      </c>
      <c r="E37" s="1350">
        <v>44236</v>
      </c>
      <c r="F37" s="1349" t="s">
        <v>1245</v>
      </c>
      <c r="G37" s="1348">
        <v>952.51</v>
      </c>
      <c r="H37" s="1406" t="s">
        <v>1213</v>
      </c>
    </row>
    <row r="38" spans="1:8" ht="15" customHeight="1" x14ac:dyDescent="0.2">
      <c r="A38" s="1344">
        <v>33</v>
      </c>
      <c r="B38" s="1345" t="s">
        <v>410</v>
      </c>
      <c r="C38" s="1339" t="s">
        <v>1206</v>
      </c>
      <c r="D38" s="1304" t="s">
        <v>1767</v>
      </c>
      <c r="E38" s="1350">
        <v>44221</v>
      </c>
      <c r="F38" s="1349" t="s">
        <v>1246</v>
      </c>
      <c r="G38" s="1348">
        <v>170.28</v>
      </c>
      <c r="H38" s="1406" t="s">
        <v>1742</v>
      </c>
    </row>
    <row r="39" spans="1:8" ht="15" customHeight="1" x14ac:dyDescent="0.2">
      <c r="A39" s="1344">
        <v>34</v>
      </c>
      <c r="B39" s="1345" t="s">
        <v>410</v>
      </c>
      <c r="C39" s="1339" t="s">
        <v>1206</v>
      </c>
      <c r="D39" s="1304" t="s">
        <v>377</v>
      </c>
      <c r="E39" s="1350">
        <v>44236</v>
      </c>
      <c r="F39" s="1349" t="s">
        <v>1247</v>
      </c>
      <c r="G39" s="1348">
        <v>195.56</v>
      </c>
      <c r="H39" s="1406" t="s">
        <v>1739</v>
      </c>
    </row>
    <row r="40" spans="1:8" ht="15" customHeight="1" x14ac:dyDescent="0.2">
      <c r="A40" s="1344">
        <v>35</v>
      </c>
      <c r="B40" s="1345" t="s">
        <v>410</v>
      </c>
      <c r="C40" s="1339" t="s">
        <v>1206</v>
      </c>
      <c r="D40" s="990" t="s">
        <v>376</v>
      </c>
      <c r="E40" s="1350">
        <v>44236</v>
      </c>
      <c r="F40" s="1349" t="s">
        <v>1248</v>
      </c>
      <c r="G40" s="1348">
        <v>5470</v>
      </c>
      <c r="H40" s="1406" t="s">
        <v>1213</v>
      </c>
    </row>
    <row r="41" spans="1:8" ht="15" customHeight="1" x14ac:dyDescent="0.2">
      <c r="A41" s="1344">
        <v>36</v>
      </c>
      <c r="B41" s="1345" t="s">
        <v>410</v>
      </c>
      <c r="C41" s="1339" t="s">
        <v>1206</v>
      </c>
      <c r="D41" s="1346" t="s">
        <v>1768</v>
      </c>
      <c r="E41" s="1350">
        <v>44236</v>
      </c>
      <c r="F41" s="1349" t="s">
        <v>1249</v>
      </c>
      <c r="G41" s="1348">
        <v>159.4</v>
      </c>
      <c r="H41" s="1406" t="s">
        <v>1211</v>
      </c>
    </row>
    <row r="42" spans="1:8" ht="15" customHeight="1" x14ac:dyDescent="0.2">
      <c r="A42" s="1337">
        <v>37</v>
      </c>
      <c r="B42" s="1338" t="s">
        <v>410</v>
      </c>
      <c r="C42" s="1339" t="s">
        <v>1206</v>
      </c>
      <c r="D42" s="1307" t="s">
        <v>141</v>
      </c>
      <c r="E42" s="1340">
        <v>44236</v>
      </c>
      <c r="F42" s="1352" t="s">
        <v>1769</v>
      </c>
      <c r="G42" s="1353">
        <v>2199.2399999999998</v>
      </c>
      <c r="H42" s="1406" t="s">
        <v>1211</v>
      </c>
    </row>
    <row r="43" spans="1:8" ht="15" customHeight="1" x14ac:dyDescent="0.2">
      <c r="A43" s="1344">
        <v>38</v>
      </c>
      <c r="B43" s="1345" t="s">
        <v>410</v>
      </c>
      <c r="C43" s="1339" t="s">
        <v>1206</v>
      </c>
      <c r="D43" s="1304" t="s">
        <v>1770</v>
      </c>
      <c r="E43" s="1350">
        <v>44250</v>
      </c>
      <c r="F43" s="1349" t="s">
        <v>1250</v>
      </c>
      <c r="G43" s="1348">
        <v>834268.45</v>
      </c>
      <c r="H43" s="1406" t="s">
        <v>1213</v>
      </c>
    </row>
    <row r="44" spans="1:8" ht="15" customHeight="1" x14ac:dyDescent="0.2">
      <c r="A44" s="1344">
        <v>39</v>
      </c>
      <c r="B44" s="1345" t="s">
        <v>410</v>
      </c>
      <c r="C44" s="1339" t="s">
        <v>1206</v>
      </c>
      <c r="D44" s="1304" t="s">
        <v>1771</v>
      </c>
      <c r="E44" s="1350">
        <v>44236</v>
      </c>
      <c r="F44" s="1349" t="s">
        <v>1251</v>
      </c>
      <c r="G44" s="1348">
        <v>10459.93</v>
      </c>
      <c r="H44" s="1406" t="s">
        <v>1772</v>
      </c>
    </row>
    <row r="45" spans="1:8" ht="15" customHeight="1" x14ac:dyDescent="0.2">
      <c r="A45" s="1344">
        <v>40</v>
      </c>
      <c r="B45" s="1345" t="s">
        <v>410</v>
      </c>
      <c r="C45" s="1354" t="s">
        <v>1206</v>
      </c>
      <c r="D45" s="1346" t="s">
        <v>1773</v>
      </c>
      <c r="E45" s="1350">
        <v>44250</v>
      </c>
      <c r="F45" s="1349" t="s">
        <v>1252</v>
      </c>
      <c r="G45" s="1348">
        <v>314900</v>
      </c>
      <c r="H45" s="1406" t="s">
        <v>1774</v>
      </c>
    </row>
    <row r="46" spans="1:8" ht="15" customHeight="1" x14ac:dyDescent="0.2">
      <c r="A46" s="1337">
        <v>41</v>
      </c>
      <c r="B46" s="1338" t="s">
        <v>410</v>
      </c>
      <c r="C46" s="1339" t="s">
        <v>1206</v>
      </c>
      <c r="D46" s="1307" t="s">
        <v>1775</v>
      </c>
      <c r="E46" s="1340">
        <v>44250</v>
      </c>
      <c r="F46" s="1352" t="s">
        <v>1253</v>
      </c>
      <c r="G46" s="1353">
        <v>0</v>
      </c>
      <c r="H46" s="1407" t="s">
        <v>1774</v>
      </c>
    </row>
    <row r="47" spans="1:8" ht="15" customHeight="1" x14ac:dyDescent="0.2">
      <c r="A47" s="1344">
        <v>42</v>
      </c>
      <c r="B47" s="1345" t="s">
        <v>410</v>
      </c>
      <c r="C47" s="1354" t="s">
        <v>1206</v>
      </c>
      <c r="D47" s="1304" t="s">
        <v>1776</v>
      </c>
      <c r="E47" s="1350">
        <v>44236</v>
      </c>
      <c r="F47" s="1349" t="s">
        <v>1254</v>
      </c>
      <c r="G47" s="1348">
        <v>3339.9</v>
      </c>
      <c r="H47" s="1406" t="s">
        <v>1211</v>
      </c>
    </row>
    <row r="48" spans="1:8" ht="15" customHeight="1" x14ac:dyDescent="0.2">
      <c r="A48" s="1337">
        <v>43</v>
      </c>
      <c r="B48" s="1338" t="s">
        <v>410</v>
      </c>
      <c r="C48" s="1354" t="s">
        <v>1206</v>
      </c>
      <c r="D48" s="1351" t="s">
        <v>1777</v>
      </c>
      <c r="E48" s="1340">
        <v>44236</v>
      </c>
      <c r="F48" s="1352" t="s">
        <v>1255</v>
      </c>
      <c r="G48" s="1353">
        <v>0</v>
      </c>
      <c r="H48" s="1406" t="s">
        <v>1211</v>
      </c>
    </row>
    <row r="49" spans="1:8" ht="15" customHeight="1" x14ac:dyDescent="0.2">
      <c r="A49" s="1344">
        <v>44</v>
      </c>
      <c r="B49" s="1345" t="s">
        <v>410</v>
      </c>
      <c r="C49" s="1354" t="s">
        <v>1206</v>
      </c>
      <c r="D49" s="990" t="s">
        <v>1778</v>
      </c>
      <c r="E49" s="1350">
        <v>44236</v>
      </c>
      <c r="F49" s="1349" t="s">
        <v>1256</v>
      </c>
      <c r="G49" s="1348">
        <v>2000</v>
      </c>
      <c r="H49" s="1406" t="s">
        <v>1779</v>
      </c>
    </row>
    <row r="50" spans="1:8" ht="22.5" customHeight="1" thickBot="1" x14ac:dyDescent="0.25">
      <c r="A50" s="1355">
        <v>45</v>
      </c>
      <c r="B50" s="1356" t="s">
        <v>410</v>
      </c>
      <c r="C50" s="1357" t="s">
        <v>1206</v>
      </c>
      <c r="D50" s="1306" t="s">
        <v>1780</v>
      </c>
      <c r="E50" s="1358">
        <v>44236</v>
      </c>
      <c r="F50" s="1359" t="s">
        <v>1257</v>
      </c>
      <c r="G50" s="1360">
        <v>30090.5</v>
      </c>
      <c r="H50" s="1408" t="s">
        <v>1258</v>
      </c>
    </row>
    <row r="51" spans="1:8" ht="15" customHeight="1" x14ac:dyDescent="0.2">
      <c r="A51" s="1343"/>
      <c r="B51" s="1361"/>
      <c r="C51" s="1362"/>
      <c r="D51" s="1343"/>
      <c r="E51" s="1363"/>
      <c r="F51" s="1364"/>
      <c r="G51" s="1365"/>
      <c r="H51" s="1366"/>
    </row>
    <row r="52" spans="1:8" ht="15" customHeight="1" x14ac:dyDescent="0.2">
      <c r="A52" s="1343"/>
      <c r="B52" s="1361"/>
      <c r="C52" s="1362"/>
      <c r="D52" s="1343"/>
      <c r="E52" s="1363"/>
      <c r="F52" s="1364"/>
      <c r="G52" s="1365"/>
      <c r="H52" s="1366"/>
    </row>
    <row r="53" spans="1:8" ht="15" customHeight="1" x14ac:dyDescent="0.2">
      <c r="A53" s="1343"/>
      <c r="B53" s="1361"/>
      <c r="C53" s="1362"/>
      <c r="D53" s="1343"/>
      <c r="E53" s="1363"/>
      <c r="F53" s="1364"/>
      <c r="G53" s="1365"/>
      <c r="H53" s="1366"/>
    </row>
    <row r="54" spans="1:8" s="1343" customFormat="1" ht="15" customHeight="1" x14ac:dyDescent="0.2">
      <c r="A54" s="961"/>
      <c r="B54" s="961"/>
      <c r="C54" s="961"/>
      <c r="D54" s="961"/>
      <c r="E54" s="961"/>
      <c r="F54" s="961"/>
      <c r="G54" s="961"/>
      <c r="H54" s="1333" t="s">
        <v>431</v>
      </c>
    </row>
    <row r="55" spans="1:8" s="1343" customFormat="1" ht="16.5" customHeight="1" x14ac:dyDescent="0.2">
      <c r="A55" s="961"/>
      <c r="B55" s="961"/>
      <c r="C55" s="1845" t="s">
        <v>90</v>
      </c>
      <c r="D55" s="1845"/>
      <c r="E55" s="1845"/>
      <c r="F55" s="1845"/>
      <c r="G55" s="1845"/>
      <c r="H55" s="1845"/>
    </row>
    <row r="56" spans="1:8" s="1343" customFormat="1" ht="15" customHeight="1" x14ac:dyDescent="0.2">
      <c r="A56" s="961"/>
      <c r="B56" s="961"/>
      <c r="C56" s="1846" t="s">
        <v>1709</v>
      </c>
      <c r="D56" s="1846"/>
      <c r="E56" s="1846"/>
      <c r="F56" s="1846"/>
      <c r="G56" s="1846"/>
      <c r="H56" s="1846"/>
    </row>
    <row r="57" spans="1:8" s="1343" customFormat="1" ht="15" customHeight="1" thickBot="1" x14ac:dyDescent="0.25">
      <c r="A57" s="961"/>
      <c r="B57" s="961"/>
      <c r="C57" s="961"/>
      <c r="D57" s="961"/>
      <c r="E57" s="961"/>
      <c r="F57" s="961"/>
      <c r="G57" s="961"/>
      <c r="H57" s="1334"/>
    </row>
    <row r="58" spans="1:8" s="1343" customFormat="1" ht="34.5" customHeight="1" thickBot="1" x14ac:dyDescent="0.25">
      <c r="A58" s="1847" t="s">
        <v>6</v>
      </c>
      <c r="B58" s="1848"/>
      <c r="C58" s="1849"/>
      <c r="D58" s="1335" t="s">
        <v>7</v>
      </c>
      <c r="E58" s="1335" t="s">
        <v>638</v>
      </c>
      <c r="F58" s="1335" t="s">
        <v>138</v>
      </c>
      <c r="G58" s="1335" t="s">
        <v>140</v>
      </c>
      <c r="H58" s="1367" t="s">
        <v>139</v>
      </c>
    </row>
    <row r="59" spans="1:8" s="1343" customFormat="1" ht="15" customHeight="1" x14ac:dyDescent="0.2">
      <c r="A59" s="1344">
        <v>46</v>
      </c>
      <c r="B59" s="1345" t="s">
        <v>410</v>
      </c>
      <c r="C59" s="1354" t="s">
        <v>1206</v>
      </c>
      <c r="D59" s="1304" t="s">
        <v>1781</v>
      </c>
      <c r="E59" s="1350">
        <v>44236</v>
      </c>
      <c r="F59" s="1349" t="s">
        <v>1259</v>
      </c>
      <c r="G59" s="1348">
        <v>0</v>
      </c>
      <c r="H59" s="1406" t="s">
        <v>1215</v>
      </c>
    </row>
    <row r="60" spans="1:8" s="1343" customFormat="1" ht="15" customHeight="1" x14ac:dyDescent="0.2">
      <c r="A60" s="1344">
        <v>47</v>
      </c>
      <c r="B60" s="1345" t="s">
        <v>410</v>
      </c>
      <c r="C60" s="1354" t="s">
        <v>1206</v>
      </c>
      <c r="D60" s="1304" t="s">
        <v>1782</v>
      </c>
      <c r="E60" s="1350">
        <v>44250</v>
      </c>
      <c r="F60" s="1349" t="s">
        <v>1260</v>
      </c>
      <c r="G60" s="1348">
        <v>0</v>
      </c>
      <c r="H60" s="1406" t="s">
        <v>1215</v>
      </c>
    </row>
    <row r="61" spans="1:8" s="1343" customFormat="1" ht="15" customHeight="1" x14ac:dyDescent="0.2">
      <c r="A61" s="1344">
        <v>48</v>
      </c>
      <c r="B61" s="1345" t="s">
        <v>410</v>
      </c>
      <c r="C61" s="1354" t="s">
        <v>1206</v>
      </c>
      <c r="D61" s="1346" t="s">
        <v>1783</v>
      </c>
      <c r="E61" s="1350">
        <v>44236</v>
      </c>
      <c r="F61" s="1349" t="s">
        <v>1261</v>
      </c>
      <c r="G61" s="1348">
        <v>31309</v>
      </c>
      <c r="H61" s="1406" t="s">
        <v>1235</v>
      </c>
    </row>
    <row r="62" spans="1:8" s="1343" customFormat="1" ht="15" customHeight="1" x14ac:dyDescent="0.2">
      <c r="A62" s="1344">
        <v>49</v>
      </c>
      <c r="B62" s="1345" t="s">
        <v>410</v>
      </c>
      <c r="C62" s="1354" t="s">
        <v>1206</v>
      </c>
      <c r="D62" s="1304" t="s">
        <v>1784</v>
      </c>
      <c r="E62" s="1350">
        <v>44236</v>
      </c>
      <c r="F62" s="1349" t="s">
        <v>1262</v>
      </c>
      <c r="G62" s="1348">
        <v>4335.53</v>
      </c>
      <c r="H62" s="1406" t="s">
        <v>1235</v>
      </c>
    </row>
    <row r="63" spans="1:8" s="1343" customFormat="1" ht="15" customHeight="1" x14ac:dyDescent="0.2">
      <c r="A63" s="1344">
        <v>50</v>
      </c>
      <c r="B63" s="1345" t="s">
        <v>410</v>
      </c>
      <c r="C63" s="1354" t="s">
        <v>1206</v>
      </c>
      <c r="D63" s="1304" t="s">
        <v>1785</v>
      </c>
      <c r="E63" s="1350">
        <v>44236</v>
      </c>
      <c r="F63" s="1349" t="s">
        <v>1263</v>
      </c>
      <c r="G63" s="1348">
        <v>12979.22</v>
      </c>
      <c r="H63" s="1406" t="s">
        <v>1235</v>
      </c>
    </row>
    <row r="64" spans="1:8" s="1343" customFormat="1" ht="15" customHeight="1" x14ac:dyDescent="0.2">
      <c r="A64" s="1344">
        <v>51</v>
      </c>
      <c r="B64" s="1345" t="s">
        <v>410</v>
      </c>
      <c r="C64" s="1354" t="s">
        <v>1206</v>
      </c>
      <c r="D64" s="1304" t="s">
        <v>1786</v>
      </c>
      <c r="E64" s="1350">
        <v>44236</v>
      </c>
      <c r="F64" s="1349" t="s">
        <v>1264</v>
      </c>
      <c r="G64" s="1348">
        <v>359455.78</v>
      </c>
      <c r="H64" s="1406" t="s">
        <v>1235</v>
      </c>
    </row>
    <row r="65" spans="1:8" s="1343" customFormat="1" ht="15" customHeight="1" x14ac:dyDescent="0.2">
      <c r="A65" s="1344">
        <v>52</v>
      </c>
      <c r="B65" s="1345" t="s">
        <v>410</v>
      </c>
      <c r="C65" s="1354" t="s">
        <v>1206</v>
      </c>
      <c r="D65" s="1346" t="s">
        <v>141</v>
      </c>
      <c r="E65" s="1350">
        <v>44228</v>
      </c>
      <c r="F65" s="1349" t="s">
        <v>1265</v>
      </c>
      <c r="G65" s="1348">
        <v>7023262.0099999998</v>
      </c>
      <c r="H65" s="1406" t="s">
        <v>1211</v>
      </c>
    </row>
    <row r="66" spans="1:8" s="1343" customFormat="1" ht="15" customHeight="1" x14ac:dyDescent="0.2">
      <c r="A66" s="1344">
        <v>53</v>
      </c>
      <c r="B66" s="1345" t="s">
        <v>410</v>
      </c>
      <c r="C66" s="1354" t="s">
        <v>1206</v>
      </c>
      <c r="D66" s="1346" t="s">
        <v>1787</v>
      </c>
      <c r="E66" s="1350">
        <v>44250</v>
      </c>
      <c r="F66" s="1349" t="s">
        <v>1266</v>
      </c>
      <c r="G66" s="1348">
        <v>0</v>
      </c>
      <c r="H66" s="1406" t="s">
        <v>1213</v>
      </c>
    </row>
    <row r="67" spans="1:8" s="1343" customFormat="1" ht="15" customHeight="1" x14ac:dyDescent="0.2">
      <c r="A67" s="1344">
        <v>54</v>
      </c>
      <c r="B67" s="1345" t="s">
        <v>410</v>
      </c>
      <c r="C67" s="1354" t="s">
        <v>1206</v>
      </c>
      <c r="D67" s="1304" t="s">
        <v>1788</v>
      </c>
      <c r="E67" s="1350">
        <v>44236</v>
      </c>
      <c r="F67" s="1349" t="s">
        <v>1267</v>
      </c>
      <c r="G67" s="1348">
        <v>0</v>
      </c>
      <c r="H67" s="1406" t="s">
        <v>1213</v>
      </c>
    </row>
    <row r="68" spans="1:8" s="1343" customFormat="1" ht="15" customHeight="1" x14ac:dyDescent="0.2">
      <c r="A68" s="1344">
        <v>55</v>
      </c>
      <c r="B68" s="1345" t="s">
        <v>410</v>
      </c>
      <c r="C68" s="1354" t="s">
        <v>1206</v>
      </c>
      <c r="D68" s="990" t="s">
        <v>1789</v>
      </c>
      <c r="E68" s="1350">
        <v>44250</v>
      </c>
      <c r="F68" s="1349" t="s">
        <v>1268</v>
      </c>
      <c r="G68" s="1348">
        <v>75</v>
      </c>
      <c r="H68" s="1406" t="s">
        <v>1224</v>
      </c>
    </row>
    <row r="69" spans="1:8" s="1343" customFormat="1" ht="15" customHeight="1" x14ac:dyDescent="0.2">
      <c r="A69" s="1344">
        <v>56</v>
      </c>
      <c r="B69" s="1345" t="s">
        <v>410</v>
      </c>
      <c r="C69" s="1354" t="s">
        <v>1206</v>
      </c>
      <c r="D69" s="1346" t="s">
        <v>1790</v>
      </c>
      <c r="E69" s="1350">
        <v>44250</v>
      </c>
      <c r="F69" s="1349" t="s">
        <v>1269</v>
      </c>
      <c r="G69" s="1348">
        <v>0</v>
      </c>
      <c r="H69" s="1406" t="s">
        <v>1224</v>
      </c>
    </row>
    <row r="70" spans="1:8" s="1343" customFormat="1" ht="15" customHeight="1" x14ac:dyDescent="0.2">
      <c r="A70" s="1344">
        <v>57</v>
      </c>
      <c r="B70" s="1345" t="s">
        <v>410</v>
      </c>
      <c r="C70" s="1354" t="s">
        <v>1206</v>
      </c>
      <c r="D70" s="1346" t="s">
        <v>746</v>
      </c>
      <c r="E70" s="1350">
        <v>44236</v>
      </c>
      <c r="F70" s="1349" t="s">
        <v>1270</v>
      </c>
      <c r="G70" s="1348">
        <v>0</v>
      </c>
      <c r="H70" s="1406" t="s">
        <v>1742</v>
      </c>
    </row>
    <row r="71" spans="1:8" s="1343" customFormat="1" ht="15" customHeight="1" x14ac:dyDescent="0.2">
      <c r="A71" s="1344">
        <v>58</v>
      </c>
      <c r="B71" s="1345" t="s">
        <v>410</v>
      </c>
      <c r="C71" s="1354" t="s">
        <v>1206</v>
      </c>
      <c r="D71" s="1346" t="s">
        <v>411</v>
      </c>
      <c r="E71" s="1350">
        <v>44236</v>
      </c>
      <c r="F71" s="1349" t="s">
        <v>1271</v>
      </c>
      <c r="G71" s="1348">
        <v>27</v>
      </c>
      <c r="H71" s="1406" t="s">
        <v>1745</v>
      </c>
    </row>
    <row r="72" spans="1:8" s="1343" customFormat="1" ht="15" customHeight="1" x14ac:dyDescent="0.2">
      <c r="A72" s="1368">
        <v>59</v>
      </c>
      <c r="B72" s="1369" t="s">
        <v>410</v>
      </c>
      <c r="C72" s="1354" t="s">
        <v>1206</v>
      </c>
      <c r="D72" s="1304" t="s">
        <v>1791</v>
      </c>
      <c r="E72" s="1350">
        <v>44236</v>
      </c>
      <c r="F72" s="1349" t="s">
        <v>1272</v>
      </c>
      <c r="G72" s="1348">
        <v>16000</v>
      </c>
      <c r="H72" s="1406" t="s">
        <v>1235</v>
      </c>
    </row>
    <row r="73" spans="1:8" s="1343" customFormat="1" ht="15" customHeight="1" x14ac:dyDescent="0.2">
      <c r="A73" s="1344">
        <v>60</v>
      </c>
      <c r="B73" s="1345" t="s">
        <v>410</v>
      </c>
      <c r="C73" s="1354" t="s">
        <v>1206</v>
      </c>
      <c r="D73" s="1304" t="s">
        <v>1792</v>
      </c>
      <c r="E73" s="1350">
        <v>44236</v>
      </c>
      <c r="F73" s="1349" t="s">
        <v>1273</v>
      </c>
      <c r="G73" s="1348">
        <v>10000</v>
      </c>
      <c r="H73" s="1406" t="s">
        <v>1774</v>
      </c>
    </row>
    <row r="74" spans="1:8" s="1343" customFormat="1" ht="15" customHeight="1" x14ac:dyDescent="0.2">
      <c r="A74" s="1344">
        <v>61</v>
      </c>
      <c r="B74" s="1345" t="s">
        <v>410</v>
      </c>
      <c r="C74" s="1354" t="s">
        <v>1206</v>
      </c>
      <c r="D74" s="1304" t="s">
        <v>1793</v>
      </c>
      <c r="E74" s="1350">
        <v>44285</v>
      </c>
      <c r="F74" s="1349" t="s">
        <v>1794</v>
      </c>
      <c r="G74" s="1348">
        <v>12900</v>
      </c>
      <c r="H74" s="1406" t="s">
        <v>1211</v>
      </c>
    </row>
    <row r="75" spans="1:8" s="1343" customFormat="1" ht="15" customHeight="1" x14ac:dyDescent="0.2">
      <c r="A75" s="1368">
        <v>62</v>
      </c>
      <c r="B75" s="1345" t="s">
        <v>410</v>
      </c>
      <c r="C75" s="1354" t="s">
        <v>1206</v>
      </c>
      <c r="D75" s="1304" t="s">
        <v>1795</v>
      </c>
      <c r="E75" s="1350">
        <v>44257</v>
      </c>
      <c r="F75" s="1349" t="s">
        <v>1274</v>
      </c>
      <c r="G75" s="1348">
        <v>0</v>
      </c>
      <c r="H75" s="1406" t="s">
        <v>1211</v>
      </c>
    </row>
    <row r="76" spans="1:8" s="1343" customFormat="1" ht="15" customHeight="1" x14ac:dyDescent="0.2">
      <c r="A76" s="1344">
        <v>63</v>
      </c>
      <c r="B76" s="1345" t="s">
        <v>410</v>
      </c>
      <c r="C76" s="1354" t="s">
        <v>1206</v>
      </c>
      <c r="D76" s="1346" t="s">
        <v>1796</v>
      </c>
      <c r="E76" s="1350">
        <v>44257</v>
      </c>
      <c r="F76" s="1349" t="s">
        <v>1275</v>
      </c>
      <c r="G76" s="1348">
        <v>7000</v>
      </c>
      <c r="H76" s="1406" t="s">
        <v>1750</v>
      </c>
    </row>
    <row r="77" spans="1:8" s="1343" customFormat="1" ht="15" customHeight="1" x14ac:dyDescent="0.2">
      <c r="A77" s="1344">
        <v>64</v>
      </c>
      <c r="B77" s="1345" t="s">
        <v>410</v>
      </c>
      <c r="C77" s="1354" t="s">
        <v>1206</v>
      </c>
      <c r="D77" s="1304" t="s">
        <v>1797</v>
      </c>
      <c r="E77" s="1350">
        <v>44243</v>
      </c>
      <c r="F77" s="1349" t="s">
        <v>1276</v>
      </c>
      <c r="G77" s="1348">
        <v>1736.85</v>
      </c>
      <c r="H77" s="1406" t="s">
        <v>1235</v>
      </c>
    </row>
    <row r="78" spans="1:8" s="1343" customFormat="1" ht="15" customHeight="1" x14ac:dyDescent="0.2">
      <c r="A78" s="1370">
        <v>65</v>
      </c>
      <c r="B78" s="1338" t="s">
        <v>410</v>
      </c>
      <c r="C78" s="1354" t="s">
        <v>1206</v>
      </c>
      <c r="D78" s="1351" t="s">
        <v>1798</v>
      </c>
      <c r="E78" s="1340">
        <v>44243</v>
      </c>
      <c r="F78" s="1352" t="s">
        <v>1277</v>
      </c>
      <c r="G78" s="1353">
        <v>0</v>
      </c>
      <c r="H78" s="1407" t="s">
        <v>1235</v>
      </c>
    </row>
    <row r="79" spans="1:8" ht="15" customHeight="1" x14ac:dyDescent="0.2">
      <c r="A79" s="1344">
        <v>66</v>
      </c>
      <c r="B79" s="1345" t="s">
        <v>410</v>
      </c>
      <c r="C79" s="1354" t="s">
        <v>1206</v>
      </c>
      <c r="D79" s="1304" t="s">
        <v>1768</v>
      </c>
      <c r="E79" s="1350">
        <v>44243</v>
      </c>
      <c r="F79" s="1349" t="s">
        <v>1278</v>
      </c>
      <c r="G79" s="1348">
        <v>25.26</v>
      </c>
      <c r="H79" s="1406" t="s">
        <v>1211</v>
      </c>
    </row>
    <row r="80" spans="1:8" ht="22.5" customHeight="1" x14ac:dyDescent="0.2">
      <c r="A80" s="1344">
        <v>67</v>
      </c>
      <c r="B80" s="1345" t="s">
        <v>410</v>
      </c>
      <c r="C80" s="1354" t="s">
        <v>1206</v>
      </c>
      <c r="D80" s="990" t="s">
        <v>1799</v>
      </c>
      <c r="E80" s="1350">
        <v>44257</v>
      </c>
      <c r="F80" s="1349" t="s">
        <v>1800</v>
      </c>
      <c r="G80" s="1348">
        <v>25985.82</v>
      </c>
      <c r="H80" s="1406" t="s">
        <v>1774</v>
      </c>
    </row>
    <row r="81" spans="1:8" ht="15" customHeight="1" x14ac:dyDescent="0.2">
      <c r="A81" s="1368">
        <v>68</v>
      </c>
      <c r="B81" s="1345" t="s">
        <v>410</v>
      </c>
      <c r="C81" s="1354" t="s">
        <v>1206</v>
      </c>
      <c r="D81" s="1346" t="s">
        <v>1768</v>
      </c>
      <c r="E81" s="1350">
        <v>44257</v>
      </c>
      <c r="F81" s="1349" t="s">
        <v>1280</v>
      </c>
      <c r="G81" s="1348">
        <v>214.03</v>
      </c>
      <c r="H81" s="1406" t="s">
        <v>1211</v>
      </c>
    </row>
    <row r="82" spans="1:8" ht="15" customHeight="1" x14ac:dyDescent="0.2">
      <c r="A82" s="1344">
        <v>69</v>
      </c>
      <c r="B82" s="1345" t="s">
        <v>410</v>
      </c>
      <c r="C82" s="1354" t="s">
        <v>1206</v>
      </c>
      <c r="D82" s="1304" t="s">
        <v>1801</v>
      </c>
      <c r="E82" s="1350">
        <v>44257</v>
      </c>
      <c r="F82" s="1349" t="s">
        <v>1281</v>
      </c>
      <c r="G82" s="1348">
        <v>0</v>
      </c>
      <c r="H82" s="1406" t="s">
        <v>1224</v>
      </c>
    </row>
    <row r="83" spans="1:8" ht="15" customHeight="1" x14ac:dyDescent="0.2">
      <c r="A83" s="1344">
        <v>70</v>
      </c>
      <c r="B83" s="1345" t="s">
        <v>410</v>
      </c>
      <c r="C83" s="1354" t="s">
        <v>1206</v>
      </c>
      <c r="D83" s="1304" t="s">
        <v>1802</v>
      </c>
      <c r="E83" s="1350">
        <v>44257</v>
      </c>
      <c r="F83" s="1349" t="s">
        <v>1282</v>
      </c>
      <c r="G83" s="1348">
        <v>430</v>
      </c>
      <c r="H83" s="1406" t="s">
        <v>1750</v>
      </c>
    </row>
    <row r="84" spans="1:8" s="1343" customFormat="1" ht="15" customHeight="1" x14ac:dyDescent="0.2">
      <c r="A84" s="1368">
        <v>71</v>
      </c>
      <c r="B84" s="1345" t="s">
        <v>410</v>
      </c>
      <c r="C84" s="1354" t="s">
        <v>1206</v>
      </c>
      <c r="D84" s="1304" t="s">
        <v>1801</v>
      </c>
      <c r="E84" s="1350">
        <v>44257</v>
      </c>
      <c r="F84" s="1349" t="s">
        <v>1283</v>
      </c>
      <c r="G84" s="1348">
        <v>0</v>
      </c>
      <c r="H84" s="1406" t="s">
        <v>1224</v>
      </c>
    </row>
    <row r="85" spans="1:8" s="1343" customFormat="1" ht="15" customHeight="1" x14ac:dyDescent="0.2">
      <c r="A85" s="1344">
        <v>72</v>
      </c>
      <c r="B85" s="1345" t="s">
        <v>410</v>
      </c>
      <c r="C85" s="1354" t="s">
        <v>1206</v>
      </c>
      <c r="D85" s="1346" t="s">
        <v>1803</v>
      </c>
      <c r="E85" s="1350">
        <v>44292</v>
      </c>
      <c r="F85" s="1349" t="s">
        <v>1284</v>
      </c>
      <c r="G85" s="1348">
        <v>1225</v>
      </c>
      <c r="H85" s="1406" t="s">
        <v>1211</v>
      </c>
    </row>
    <row r="86" spans="1:8" s="1343" customFormat="1" ht="15" customHeight="1" x14ac:dyDescent="0.2">
      <c r="A86" s="1344">
        <v>73</v>
      </c>
      <c r="B86" s="1345" t="s">
        <v>410</v>
      </c>
      <c r="C86" s="1354" t="s">
        <v>1206</v>
      </c>
      <c r="D86" s="1346" t="s">
        <v>1804</v>
      </c>
      <c r="E86" s="1350">
        <v>44285</v>
      </c>
      <c r="F86" s="1349" t="s">
        <v>1285</v>
      </c>
      <c r="G86" s="1348">
        <v>1148.57</v>
      </c>
      <c r="H86" s="1406" t="s">
        <v>1211</v>
      </c>
    </row>
    <row r="87" spans="1:8" s="1343" customFormat="1" ht="15" customHeight="1" x14ac:dyDescent="0.2">
      <c r="A87" s="1368">
        <v>74</v>
      </c>
      <c r="B87" s="1345" t="s">
        <v>410</v>
      </c>
      <c r="C87" s="1354" t="s">
        <v>1206</v>
      </c>
      <c r="D87" s="1304" t="s">
        <v>1805</v>
      </c>
      <c r="E87" s="1350">
        <v>44257</v>
      </c>
      <c r="F87" s="1349" t="s">
        <v>1286</v>
      </c>
      <c r="G87" s="1348">
        <v>2313.35</v>
      </c>
      <c r="H87" s="1406" t="s">
        <v>1213</v>
      </c>
    </row>
    <row r="88" spans="1:8" s="1343" customFormat="1" ht="15" customHeight="1" x14ac:dyDescent="0.2">
      <c r="A88" s="1344">
        <v>75</v>
      </c>
      <c r="B88" s="1345" t="s">
        <v>410</v>
      </c>
      <c r="C88" s="1354" t="s">
        <v>1206</v>
      </c>
      <c r="D88" s="1346" t="s">
        <v>1806</v>
      </c>
      <c r="E88" s="1350">
        <v>44257</v>
      </c>
      <c r="F88" s="1349" t="s">
        <v>1287</v>
      </c>
      <c r="G88" s="1348">
        <v>732176.93</v>
      </c>
      <c r="H88" s="1409" t="s">
        <v>703</v>
      </c>
    </row>
    <row r="89" spans="1:8" s="1343" customFormat="1" ht="15" customHeight="1" x14ac:dyDescent="0.2">
      <c r="A89" s="1337">
        <v>76</v>
      </c>
      <c r="B89" s="1338" t="s">
        <v>410</v>
      </c>
      <c r="C89" s="1354" t="s">
        <v>1206</v>
      </c>
      <c r="D89" s="1351" t="s">
        <v>1798</v>
      </c>
      <c r="E89" s="1340">
        <v>44257</v>
      </c>
      <c r="F89" s="1352" t="s">
        <v>1288</v>
      </c>
      <c r="G89" s="1353">
        <v>0</v>
      </c>
      <c r="H89" s="1409" t="s">
        <v>1235</v>
      </c>
    </row>
    <row r="90" spans="1:8" s="1343" customFormat="1" ht="15" customHeight="1" x14ac:dyDescent="0.2">
      <c r="A90" s="1344">
        <v>77</v>
      </c>
      <c r="B90" s="1345" t="s">
        <v>410</v>
      </c>
      <c r="C90" s="1354" t="s">
        <v>1206</v>
      </c>
      <c r="D90" s="990" t="s">
        <v>767</v>
      </c>
      <c r="E90" s="1350">
        <v>44285</v>
      </c>
      <c r="F90" s="1349" t="s">
        <v>1289</v>
      </c>
      <c r="G90" s="1348">
        <v>0</v>
      </c>
      <c r="H90" s="1409" t="s">
        <v>1235</v>
      </c>
    </row>
    <row r="91" spans="1:8" s="1343" customFormat="1" ht="15" customHeight="1" x14ac:dyDescent="0.2">
      <c r="A91" s="1344">
        <v>78</v>
      </c>
      <c r="B91" s="1345" t="s">
        <v>410</v>
      </c>
      <c r="C91" s="1354" t="s">
        <v>1206</v>
      </c>
      <c r="D91" s="1304" t="s">
        <v>746</v>
      </c>
      <c r="E91" s="1350">
        <v>44257</v>
      </c>
      <c r="F91" s="1349" t="s">
        <v>1290</v>
      </c>
      <c r="G91" s="1348">
        <v>0</v>
      </c>
      <c r="H91" s="1406" t="s">
        <v>1742</v>
      </c>
    </row>
    <row r="92" spans="1:8" s="1343" customFormat="1" ht="15" customHeight="1" x14ac:dyDescent="0.2">
      <c r="A92" s="1337">
        <v>79</v>
      </c>
      <c r="B92" s="1338" t="s">
        <v>410</v>
      </c>
      <c r="C92" s="1354" t="s">
        <v>1206</v>
      </c>
      <c r="D92" s="1307" t="s">
        <v>1753</v>
      </c>
      <c r="E92" s="1340">
        <v>44257</v>
      </c>
      <c r="F92" s="1352" t="s">
        <v>1291</v>
      </c>
      <c r="G92" s="1353">
        <v>0</v>
      </c>
      <c r="H92" s="1410" t="s">
        <v>1742</v>
      </c>
    </row>
    <row r="93" spans="1:8" s="1343" customFormat="1" ht="15" customHeight="1" x14ac:dyDescent="0.2">
      <c r="A93" s="1344">
        <v>80</v>
      </c>
      <c r="B93" s="1345" t="s">
        <v>410</v>
      </c>
      <c r="C93" s="1354" t="s">
        <v>1206</v>
      </c>
      <c r="D93" s="1304" t="s">
        <v>1807</v>
      </c>
      <c r="E93" s="1350">
        <v>44285</v>
      </c>
      <c r="F93" s="1349" t="s">
        <v>1292</v>
      </c>
      <c r="G93" s="1348">
        <v>0</v>
      </c>
      <c r="H93" s="1409" t="s">
        <v>1745</v>
      </c>
    </row>
    <row r="94" spans="1:8" s="1343" customFormat="1" ht="15" customHeight="1" x14ac:dyDescent="0.2">
      <c r="A94" s="1344">
        <v>81</v>
      </c>
      <c r="B94" s="1345" t="s">
        <v>410</v>
      </c>
      <c r="C94" s="1354" t="s">
        <v>1206</v>
      </c>
      <c r="D94" s="1304" t="s">
        <v>1808</v>
      </c>
      <c r="E94" s="1350">
        <v>44250</v>
      </c>
      <c r="F94" s="1349" t="s">
        <v>1293</v>
      </c>
      <c r="G94" s="1348">
        <v>0</v>
      </c>
      <c r="H94" s="1409" t="s">
        <v>1215</v>
      </c>
    </row>
    <row r="95" spans="1:8" s="1343" customFormat="1" ht="15" customHeight="1" x14ac:dyDescent="0.2">
      <c r="A95" s="1344">
        <v>82</v>
      </c>
      <c r="B95" s="1345" t="s">
        <v>410</v>
      </c>
      <c r="C95" s="1354" t="s">
        <v>1206</v>
      </c>
      <c r="D95" s="1304" t="s">
        <v>1809</v>
      </c>
      <c r="E95" s="1350">
        <v>44271</v>
      </c>
      <c r="F95" s="1349" t="s">
        <v>1294</v>
      </c>
      <c r="G95" s="1348">
        <v>2550</v>
      </c>
      <c r="H95" s="1409" t="s">
        <v>1742</v>
      </c>
    </row>
    <row r="96" spans="1:8" s="1343" customFormat="1" ht="15" customHeight="1" x14ac:dyDescent="0.2">
      <c r="A96" s="1370">
        <v>83</v>
      </c>
      <c r="B96" s="1338" t="s">
        <v>410</v>
      </c>
      <c r="C96" s="1339" t="s">
        <v>1206</v>
      </c>
      <c r="D96" s="1307" t="s">
        <v>377</v>
      </c>
      <c r="E96" s="1340">
        <v>44271</v>
      </c>
      <c r="F96" s="1352" t="s">
        <v>1295</v>
      </c>
      <c r="G96" s="1353">
        <v>2000</v>
      </c>
      <c r="H96" s="1407" t="s">
        <v>1739</v>
      </c>
    </row>
    <row r="97" spans="1:8" s="1343" customFormat="1" ht="15" customHeight="1" x14ac:dyDescent="0.2">
      <c r="A97" s="1344">
        <v>84</v>
      </c>
      <c r="B97" s="1345" t="s">
        <v>410</v>
      </c>
      <c r="C97" s="1339" t="s">
        <v>1206</v>
      </c>
      <c r="D97" s="1346" t="s">
        <v>1810</v>
      </c>
      <c r="E97" s="1350">
        <v>44285</v>
      </c>
      <c r="F97" s="1349" t="s">
        <v>1296</v>
      </c>
      <c r="G97" s="1348">
        <v>0</v>
      </c>
      <c r="H97" s="1406" t="s">
        <v>1739</v>
      </c>
    </row>
    <row r="98" spans="1:8" s="1343" customFormat="1" ht="22.5" customHeight="1" x14ac:dyDescent="0.2">
      <c r="A98" s="1344">
        <v>85</v>
      </c>
      <c r="B98" s="1345" t="s">
        <v>410</v>
      </c>
      <c r="C98" s="1339" t="s">
        <v>1206</v>
      </c>
      <c r="D98" s="1304" t="s">
        <v>1811</v>
      </c>
      <c r="E98" s="1350">
        <v>44285</v>
      </c>
      <c r="F98" s="1349" t="s">
        <v>1297</v>
      </c>
      <c r="G98" s="1348">
        <v>0</v>
      </c>
      <c r="H98" s="1406" t="s">
        <v>1211</v>
      </c>
    </row>
    <row r="99" spans="1:8" s="1343" customFormat="1" ht="15" customHeight="1" x14ac:dyDescent="0.2">
      <c r="A99" s="1368">
        <v>86</v>
      </c>
      <c r="B99" s="1345" t="s">
        <v>410</v>
      </c>
      <c r="C99" s="1339" t="s">
        <v>1206</v>
      </c>
      <c r="D99" s="1304" t="s">
        <v>1812</v>
      </c>
      <c r="E99" s="1350">
        <v>44285</v>
      </c>
      <c r="F99" s="1349" t="s">
        <v>1298</v>
      </c>
      <c r="G99" s="1348">
        <v>0</v>
      </c>
      <c r="H99" s="1406" t="s">
        <v>1215</v>
      </c>
    </row>
    <row r="100" spans="1:8" s="1343" customFormat="1" ht="15" customHeight="1" x14ac:dyDescent="0.2">
      <c r="A100" s="1344">
        <v>87</v>
      </c>
      <c r="B100" s="1345" t="s">
        <v>410</v>
      </c>
      <c r="C100" s="1339" t="s">
        <v>1206</v>
      </c>
      <c r="D100" s="1346" t="s">
        <v>1813</v>
      </c>
      <c r="E100" s="1350">
        <v>44271</v>
      </c>
      <c r="F100" s="1349" t="s">
        <v>1299</v>
      </c>
      <c r="G100" s="1348">
        <v>57.6</v>
      </c>
      <c r="H100" s="1406" t="s">
        <v>1745</v>
      </c>
    </row>
    <row r="101" spans="1:8" s="1343" customFormat="1" ht="15" customHeight="1" x14ac:dyDescent="0.2">
      <c r="A101" s="1344">
        <v>88</v>
      </c>
      <c r="B101" s="1345" t="s">
        <v>410</v>
      </c>
      <c r="C101" s="1339" t="s">
        <v>1206</v>
      </c>
      <c r="D101" s="990" t="s">
        <v>411</v>
      </c>
      <c r="E101" s="1350">
        <v>44271</v>
      </c>
      <c r="F101" s="1349" t="s">
        <v>1300</v>
      </c>
      <c r="G101" s="1348">
        <v>70</v>
      </c>
      <c r="H101" s="1406" t="s">
        <v>1745</v>
      </c>
    </row>
    <row r="102" spans="1:8" s="1343" customFormat="1" ht="15" customHeight="1" x14ac:dyDescent="0.2">
      <c r="A102" s="1344">
        <v>89</v>
      </c>
      <c r="B102" s="1345" t="s">
        <v>410</v>
      </c>
      <c r="C102" s="1339" t="s">
        <v>1206</v>
      </c>
      <c r="D102" s="1346" t="s">
        <v>746</v>
      </c>
      <c r="E102" s="1350">
        <v>44271</v>
      </c>
      <c r="F102" s="1349" t="s">
        <v>1301</v>
      </c>
      <c r="G102" s="1348">
        <v>0</v>
      </c>
      <c r="H102" s="1406" t="s">
        <v>1742</v>
      </c>
    </row>
    <row r="103" spans="1:8" s="1343" customFormat="1" ht="22.5" customHeight="1" x14ac:dyDescent="0.2">
      <c r="A103" s="1344">
        <v>90</v>
      </c>
      <c r="B103" s="1345" t="s">
        <v>410</v>
      </c>
      <c r="C103" s="1339" t="s">
        <v>1206</v>
      </c>
      <c r="D103" s="1304" t="s">
        <v>1814</v>
      </c>
      <c r="E103" s="1350">
        <v>44271</v>
      </c>
      <c r="F103" s="1349" t="s">
        <v>1302</v>
      </c>
      <c r="G103" s="1348">
        <v>15898.69</v>
      </c>
      <c r="H103" s="1406" t="s">
        <v>1774</v>
      </c>
    </row>
    <row r="104" spans="1:8" s="1343" customFormat="1" ht="15" customHeight="1" x14ac:dyDescent="0.2">
      <c r="A104" s="1344">
        <v>91</v>
      </c>
      <c r="B104" s="1345" t="s">
        <v>410</v>
      </c>
      <c r="C104" s="1339" t="s">
        <v>1206</v>
      </c>
      <c r="D104" s="1346" t="s">
        <v>1753</v>
      </c>
      <c r="E104" s="1350">
        <v>44271</v>
      </c>
      <c r="F104" s="1349" t="s">
        <v>1303</v>
      </c>
      <c r="G104" s="1348">
        <v>0</v>
      </c>
      <c r="H104" s="1406" t="s">
        <v>1742</v>
      </c>
    </row>
    <row r="105" spans="1:8" s="1343" customFormat="1" ht="22.5" customHeight="1" thickBot="1" x14ac:dyDescent="0.25">
      <c r="A105" s="1355">
        <v>92</v>
      </c>
      <c r="B105" s="1356" t="s">
        <v>410</v>
      </c>
      <c r="C105" s="1371" t="s">
        <v>1206</v>
      </c>
      <c r="D105" s="1372" t="s">
        <v>1815</v>
      </c>
      <c r="E105" s="1358">
        <v>44285</v>
      </c>
      <c r="F105" s="1359" t="s">
        <v>1304</v>
      </c>
      <c r="G105" s="1360">
        <v>0</v>
      </c>
      <c r="H105" s="1411" t="s">
        <v>1224</v>
      </c>
    </row>
    <row r="106" spans="1:8" s="1343" customFormat="1" ht="22.5" customHeight="1" x14ac:dyDescent="0.2">
      <c r="B106" s="1361"/>
      <c r="C106" s="1362"/>
      <c r="D106" s="1373"/>
      <c r="E106" s="1363"/>
      <c r="F106" s="1364"/>
      <c r="G106" s="1365"/>
      <c r="H106" s="1374"/>
    </row>
    <row r="107" spans="1:8" s="1343" customFormat="1" ht="15" customHeight="1" x14ac:dyDescent="0.2"/>
    <row r="108" spans="1:8" s="1343" customFormat="1" ht="15" customHeight="1" x14ac:dyDescent="0.2">
      <c r="A108" s="961"/>
      <c r="B108" s="961"/>
      <c r="C108" s="961"/>
      <c r="D108" s="961"/>
      <c r="E108" s="961"/>
      <c r="F108" s="961"/>
      <c r="G108" s="961"/>
      <c r="H108" s="1333" t="s">
        <v>639</v>
      </c>
    </row>
    <row r="109" spans="1:8" s="1343" customFormat="1" ht="16.5" customHeight="1" x14ac:dyDescent="0.2">
      <c r="A109" s="961"/>
      <c r="B109" s="961"/>
      <c r="C109" s="1845" t="s">
        <v>90</v>
      </c>
      <c r="D109" s="1845"/>
      <c r="E109" s="1845"/>
      <c r="F109" s="1845"/>
      <c r="G109" s="1845"/>
      <c r="H109" s="1845"/>
    </row>
    <row r="110" spans="1:8" s="1343" customFormat="1" ht="15" customHeight="1" x14ac:dyDescent="0.2">
      <c r="A110" s="961"/>
      <c r="B110" s="961"/>
      <c r="C110" s="1846" t="s">
        <v>1709</v>
      </c>
      <c r="D110" s="1846"/>
      <c r="E110" s="1846"/>
      <c r="F110" s="1846"/>
      <c r="G110" s="1846"/>
      <c r="H110" s="1846"/>
    </row>
    <row r="111" spans="1:8" s="1343" customFormat="1" ht="15" customHeight="1" thickBot="1" x14ac:dyDescent="0.25">
      <c r="A111" s="961"/>
      <c r="B111" s="961"/>
      <c r="C111" s="961"/>
      <c r="D111" s="961"/>
      <c r="E111" s="961"/>
      <c r="F111" s="961"/>
      <c r="G111" s="961"/>
      <c r="H111" s="1334"/>
    </row>
    <row r="112" spans="1:8" s="1343" customFormat="1" ht="35.25" customHeight="1" thickBot="1" x14ac:dyDescent="0.25">
      <c r="A112" s="1847" t="s">
        <v>6</v>
      </c>
      <c r="B112" s="1848"/>
      <c r="C112" s="1849"/>
      <c r="D112" s="1335" t="s">
        <v>7</v>
      </c>
      <c r="E112" s="1335" t="s">
        <v>638</v>
      </c>
      <c r="F112" s="1335" t="s">
        <v>138</v>
      </c>
      <c r="G112" s="1335" t="s">
        <v>140</v>
      </c>
      <c r="H112" s="1367" t="s">
        <v>139</v>
      </c>
    </row>
    <row r="113" spans="1:8" s="1343" customFormat="1" ht="15" customHeight="1" x14ac:dyDescent="0.2">
      <c r="A113" s="1344">
        <v>93</v>
      </c>
      <c r="B113" s="1345" t="s">
        <v>410</v>
      </c>
      <c r="C113" s="1339" t="s">
        <v>1206</v>
      </c>
      <c r="D113" s="1304" t="s">
        <v>1798</v>
      </c>
      <c r="E113" s="1350">
        <v>44271</v>
      </c>
      <c r="F113" s="1349" t="s">
        <v>1305</v>
      </c>
      <c r="G113" s="1348">
        <v>0</v>
      </c>
      <c r="H113" s="1406" t="s">
        <v>1235</v>
      </c>
    </row>
    <row r="114" spans="1:8" s="1343" customFormat="1" ht="22.5" customHeight="1" x14ac:dyDescent="0.2">
      <c r="A114" s="1344">
        <v>94</v>
      </c>
      <c r="B114" s="1345" t="s">
        <v>410</v>
      </c>
      <c r="C114" s="1339" t="s">
        <v>1206</v>
      </c>
      <c r="D114" s="990" t="s">
        <v>1816</v>
      </c>
      <c r="E114" s="1350">
        <v>44285</v>
      </c>
      <c r="F114" s="1349" t="s">
        <v>1306</v>
      </c>
      <c r="G114" s="1348">
        <v>0</v>
      </c>
      <c r="H114" s="1406" t="s">
        <v>1213</v>
      </c>
    </row>
    <row r="115" spans="1:8" s="1343" customFormat="1" ht="22.5" customHeight="1" x14ac:dyDescent="0.2">
      <c r="A115" s="1337">
        <v>95</v>
      </c>
      <c r="B115" s="1338" t="s">
        <v>410</v>
      </c>
      <c r="C115" s="1339" t="s">
        <v>1206</v>
      </c>
      <c r="D115" s="1351" t="s">
        <v>1817</v>
      </c>
      <c r="E115" s="1340">
        <v>44285</v>
      </c>
      <c r="F115" s="1352" t="s">
        <v>1307</v>
      </c>
      <c r="G115" s="1353">
        <v>129075.09</v>
      </c>
      <c r="H115" s="1407" t="s">
        <v>1742</v>
      </c>
    </row>
    <row r="116" spans="1:8" s="1343" customFormat="1" ht="15" customHeight="1" x14ac:dyDescent="0.2">
      <c r="A116" s="1344">
        <v>96</v>
      </c>
      <c r="B116" s="1345" t="s">
        <v>410</v>
      </c>
      <c r="C116" s="1339" t="s">
        <v>1206</v>
      </c>
      <c r="D116" s="1304" t="s">
        <v>770</v>
      </c>
      <c r="E116" s="1350">
        <v>44285</v>
      </c>
      <c r="F116" s="1349" t="s">
        <v>1308</v>
      </c>
      <c r="G116" s="1348">
        <v>0</v>
      </c>
      <c r="H116" s="1407" t="s">
        <v>1235</v>
      </c>
    </row>
    <row r="117" spans="1:8" s="1343" customFormat="1" ht="15" customHeight="1" x14ac:dyDescent="0.2">
      <c r="A117" s="1344">
        <v>97</v>
      </c>
      <c r="B117" s="1345" t="s">
        <v>410</v>
      </c>
      <c r="C117" s="1339" t="s">
        <v>1206</v>
      </c>
      <c r="D117" s="990" t="s">
        <v>1818</v>
      </c>
      <c r="E117" s="1350">
        <v>44285</v>
      </c>
      <c r="F117" s="1349" t="s">
        <v>1309</v>
      </c>
      <c r="G117" s="1348">
        <v>0</v>
      </c>
      <c r="H117" s="1406" t="s">
        <v>1235</v>
      </c>
    </row>
    <row r="118" spans="1:8" s="1343" customFormat="1" ht="15" customHeight="1" x14ac:dyDescent="0.2">
      <c r="A118" s="1344">
        <v>98</v>
      </c>
      <c r="B118" s="1345" t="s">
        <v>410</v>
      </c>
      <c r="C118" s="1339" t="s">
        <v>1206</v>
      </c>
      <c r="D118" s="1304" t="s">
        <v>1808</v>
      </c>
      <c r="E118" s="1350">
        <v>44285</v>
      </c>
      <c r="F118" s="1349" t="s">
        <v>1310</v>
      </c>
      <c r="G118" s="1348">
        <v>0</v>
      </c>
      <c r="H118" s="1406" t="s">
        <v>1215</v>
      </c>
    </row>
    <row r="119" spans="1:8" s="1343" customFormat="1" ht="22.5" customHeight="1" x14ac:dyDescent="0.2">
      <c r="A119" s="1344">
        <v>99</v>
      </c>
      <c r="B119" s="1345" t="s">
        <v>410</v>
      </c>
      <c r="C119" s="1339" t="s">
        <v>1206</v>
      </c>
      <c r="D119" s="990" t="s">
        <v>1819</v>
      </c>
      <c r="E119" s="1350">
        <v>44285</v>
      </c>
      <c r="F119" s="1349" t="s">
        <v>1311</v>
      </c>
      <c r="G119" s="1348">
        <v>4058.15</v>
      </c>
      <c r="H119" s="1406" t="s">
        <v>1215</v>
      </c>
    </row>
    <row r="120" spans="1:8" s="1343" customFormat="1" ht="15" customHeight="1" x14ac:dyDescent="0.2">
      <c r="A120" s="1344">
        <v>100</v>
      </c>
      <c r="B120" s="1345" t="s">
        <v>410</v>
      </c>
      <c r="C120" s="1339" t="s">
        <v>1206</v>
      </c>
      <c r="D120" s="1346" t="s">
        <v>1820</v>
      </c>
      <c r="E120" s="1350">
        <v>44285</v>
      </c>
      <c r="F120" s="1349" t="s">
        <v>1312</v>
      </c>
      <c r="G120" s="1348">
        <v>5000</v>
      </c>
      <c r="H120" s="1409" t="s">
        <v>1739</v>
      </c>
    </row>
    <row r="121" spans="1:8" s="1343" customFormat="1" ht="15" customHeight="1" x14ac:dyDescent="0.2">
      <c r="A121" s="1344">
        <v>101</v>
      </c>
      <c r="B121" s="1345" t="s">
        <v>410</v>
      </c>
      <c r="C121" s="1339" t="s">
        <v>1206</v>
      </c>
      <c r="D121" s="1346" t="s">
        <v>1821</v>
      </c>
      <c r="E121" s="1350">
        <v>44292</v>
      </c>
      <c r="F121" s="1349" t="s">
        <v>1313</v>
      </c>
      <c r="G121" s="1348">
        <v>450</v>
      </c>
      <c r="H121" s="1406" t="s">
        <v>1213</v>
      </c>
    </row>
    <row r="122" spans="1:8" s="1343" customFormat="1" ht="15" customHeight="1" x14ac:dyDescent="0.2">
      <c r="A122" s="1344">
        <v>102</v>
      </c>
      <c r="B122" s="1345" t="s">
        <v>410</v>
      </c>
      <c r="C122" s="1339" t="s">
        <v>1206</v>
      </c>
      <c r="D122" s="1346" t="s">
        <v>1813</v>
      </c>
      <c r="E122" s="1350">
        <v>44306</v>
      </c>
      <c r="F122" s="1349" t="s">
        <v>1314</v>
      </c>
      <c r="G122" s="1348">
        <v>156.52000000000001</v>
      </c>
      <c r="H122" s="1406" t="s">
        <v>1745</v>
      </c>
    </row>
    <row r="123" spans="1:8" s="1343" customFormat="1" ht="15" customHeight="1" x14ac:dyDescent="0.2">
      <c r="A123" s="1344">
        <v>103</v>
      </c>
      <c r="B123" s="1345" t="s">
        <v>410</v>
      </c>
      <c r="C123" s="1339" t="s">
        <v>1206</v>
      </c>
      <c r="D123" s="1346" t="s">
        <v>1822</v>
      </c>
      <c r="E123" s="1350">
        <v>44313</v>
      </c>
      <c r="F123" s="1349" t="s">
        <v>1315</v>
      </c>
      <c r="G123" s="1348">
        <v>0</v>
      </c>
      <c r="H123" s="1406" t="s">
        <v>1213</v>
      </c>
    </row>
    <row r="124" spans="1:8" s="1343" customFormat="1" ht="15" customHeight="1" x14ac:dyDescent="0.2">
      <c r="A124" s="1344">
        <v>104</v>
      </c>
      <c r="B124" s="1345" t="s">
        <v>410</v>
      </c>
      <c r="C124" s="1339" t="s">
        <v>1206</v>
      </c>
      <c r="D124" s="1346" t="s">
        <v>1823</v>
      </c>
      <c r="E124" s="1350">
        <v>44292</v>
      </c>
      <c r="F124" s="1349" t="s">
        <v>1316</v>
      </c>
      <c r="G124" s="1348">
        <v>3609.4</v>
      </c>
      <c r="H124" s="1406" t="s">
        <v>1211</v>
      </c>
    </row>
    <row r="125" spans="1:8" s="1343" customFormat="1" ht="15" customHeight="1" x14ac:dyDescent="0.2">
      <c r="A125" s="1344">
        <v>105</v>
      </c>
      <c r="B125" s="1345" t="s">
        <v>410</v>
      </c>
      <c r="C125" s="1339" t="s">
        <v>1206</v>
      </c>
      <c r="D125" s="990" t="s">
        <v>1824</v>
      </c>
      <c r="E125" s="1350">
        <v>44292</v>
      </c>
      <c r="F125" s="1349" t="s">
        <v>1317</v>
      </c>
      <c r="G125" s="1348">
        <v>0</v>
      </c>
      <c r="H125" s="1406" t="s">
        <v>1224</v>
      </c>
    </row>
    <row r="126" spans="1:8" s="1343" customFormat="1" ht="15" customHeight="1" x14ac:dyDescent="0.2">
      <c r="A126" s="1344">
        <v>106</v>
      </c>
      <c r="B126" s="1345" t="s">
        <v>410</v>
      </c>
      <c r="C126" s="1339" t="s">
        <v>1206</v>
      </c>
      <c r="D126" s="1346" t="s">
        <v>1825</v>
      </c>
      <c r="E126" s="1350">
        <v>44313</v>
      </c>
      <c r="F126" s="1349" t="s">
        <v>1318</v>
      </c>
      <c r="G126" s="1348">
        <v>1253.8599999999999</v>
      </c>
      <c r="H126" s="1406" t="s">
        <v>1235</v>
      </c>
    </row>
    <row r="127" spans="1:8" s="1343" customFormat="1" ht="15" customHeight="1" x14ac:dyDescent="0.2">
      <c r="A127" s="1344">
        <v>107</v>
      </c>
      <c r="B127" s="1345" t="s">
        <v>410</v>
      </c>
      <c r="C127" s="1339" t="s">
        <v>1206</v>
      </c>
      <c r="D127" s="1346" t="s">
        <v>1798</v>
      </c>
      <c r="E127" s="1350">
        <v>44292</v>
      </c>
      <c r="F127" s="1349" t="s">
        <v>1319</v>
      </c>
      <c r="G127" s="1348">
        <v>0</v>
      </c>
      <c r="H127" s="1406" t="s">
        <v>1235</v>
      </c>
    </row>
    <row r="128" spans="1:8" s="1343" customFormat="1" ht="15" customHeight="1" x14ac:dyDescent="0.2">
      <c r="A128" s="1344">
        <v>108</v>
      </c>
      <c r="B128" s="1345" t="s">
        <v>410</v>
      </c>
      <c r="C128" s="1339" t="s">
        <v>1206</v>
      </c>
      <c r="D128" s="1346" t="s">
        <v>1826</v>
      </c>
      <c r="E128" s="1350">
        <v>44292</v>
      </c>
      <c r="F128" s="1349" t="s">
        <v>1320</v>
      </c>
      <c r="G128" s="1348">
        <v>0</v>
      </c>
      <c r="H128" s="1406" t="s">
        <v>1215</v>
      </c>
    </row>
    <row r="129" spans="1:8" s="1343" customFormat="1" ht="15" customHeight="1" x14ac:dyDescent="0.2">
      <c r="A129" s="1344">
        <v>109</v>
      </c>
      <c r="B129" s="1345" t="s">
        <v>410</v>
      </c>
      <c r="C129" s="1339" t="s">
        <v>1206</v>
      </c>
      <c r="D129" s="990" t="s">
        <v>1808</v>
      </c>
      <c r="E129" s="1350">
        <v>44292</v>
      </c>
      <c r="F129" s="1349" t="s">
        <v>1827</v>
      </c>
      <c r="G129" s="1348">
        <v>0</v>
      </c>
      <c r="H129" s="1406" t="s">
        <v>1224</v>
      </c>
    </row>
    <row r="130" spans="1:8" s="1343" customFormat="1" ht="15" customHeight="1" x14ac:dyDescent="0.2">
      <c r="A130" s="1344">
        <v>110</v>
      </c>
      <c r="B130" s="1345" t="s">
        <v>410</v>
      </c>
      <c r="C130" s="1339" t="s">
        <v>1206</v>
      </c>
      <c r="D130" s="1304" t="s">
        <v>1808</v>
      </c>
      <c r="E130" s="1350">
        <v>44284</v>
      </c>
      <c r="F130" s="1349" t="s">
        <v>1828</v>
      </c>
      <c r="G130" s="1348">
        <v>0</v>
      </c>
      <c r="H130" s="1406" t="s">
        <v>1215</v>
      </c>
    </row>
    <row r="131" spans="1:8" s="1343" customFormat="1" ht="15" customHeight="1" x14ac:dyDescent="0.2">
      <c r="A131" s="1344">
        <v>111</v>
      </c>
      <c r="B131" s="1345" t="s">
        <v>410</v>
      </c>
      <c r="C131" s="1339" t="s">
        <v>1206</v>
      </c>
      <c r="D131" s="1304" t="s">
        <v>1768</v>
      </c>
      <c r="E131" s="1350">
        <v>44292</v>
      </c>
      <c r="F131" s="1349" t="s">
        <v>1321</v>
      </c>
      <c r="G131" s="1348">
        <v>158.05000000000001</v>
      </c>
      <c r="H131" s="1406" t="s">
        <v>1211</v>
      </c>
    </row>
    <row r="132" spans="1:8" s="1343" customFormat="1" ht="15" customHeight="1" x14ac:dyDescent="0.2">
      <c r="A132" s="1344">
        <v>112</v>
      </c>
      <c r="B132" s="1345" t="s">
        <v>410</v>
      </c>
      <c r="C132" s="1339" t="s">
        <v>1206</v>
      </c>
      <c r="D132" s="1346" t="s">
        <v>1829</v>
      </c>
      <c r="E132" s="1350">
        <v>44292</v>
      </c>
      <c r="F132" s="1349" t="s">
        <v>1322</v>
      </c>
      <c r="G132" s="1348">
        <v>12235.24</v>
      </c>
      <c r="H132" s="1406" t="s">
        <v>1774</v>
      </c>
    </row>
    <row r="133" spans="1:8" s="1343" customFormat="1" ht="15" customHeight="1" x14ac:dyDescent="0.2">
      <c r="A133" s="1344">
        <v>113</v>
      </c>
      <c r="B133" s="1345" t="s">
        <v>410</v>
      </c>
      <c r="C133" s="1339" t="s">
        <v>1206</v>
      </c>
      <c r="D133" s="990" t="s">
        <v>1830</v>
      </c>
      <c r="E133" s="1350">
        <v>44292</v>
      </c>
      <c r="F133" s="1349" t="s">
        <v>1323</v>
      </c>
      <c r="G133" s="1348">
        <v>0</v>
      </c>
      <c r="H133" s="1406" t="s">
        <v>1211</v>
      </c>
    </row>
    <row r="134" spans="1:8" s="1343" customFormat="1" ht="15" customHeight="1" x14ac:dyDescent="0.2">
      <c r="A134" s="1344">
        <v>114</v>
      </c>
      <c r="B134" s="1345" t="s">
        <v>410</v>
      </c>
      <c r="C134" s="1339" t="s">
        <v>1206</v>
      </c>
      <c r="D134" s="1304" t="s">
        <v>1808</v>
      </c>
      <c r="E134" s="1350">
        <v>44284</v>
      </c>
      <c r="F134" s="1349" t="s">
        <v>1831</v>
      </c>
      <c r="G134" s="1348">
        <v>0</v>
      </c>
      <c r="H134" s="1406" t="s">
        <v>1224</v>
      </c>
    </row>
    <row r="135" spans="1:8" s="1343" customFormat="1" ht="15" customHeight="1" x14ac:dyDescent="0.2">
      <c r="A135" s="1344">
        <v>115</v>
      </c>
      <c r="B135" s="1345" t="s">
        <v>410</v>
      </c>
      <c r="C135" s="1339" t="s">
        <v>1206</v>
      </c>
      <c r="D135" s="990" t="s">
        <v>746</v>
      </c>
      <c r="E135" s="1350">
        <v>44292</v>
      </c>
      <c r="F135" s="1349" t="s">
        <v>1324</v>
      </c>
      <c r="G135" s="1348">
        <v>0</v>
      </c>
      <c r="H135" s="1406" t="s">
        <v>1742</v>
      </c>
    </row>
    <row r="136" spans="1:8" s="1343" customFormat="1" ht="15" customHeight="1" x14ac:dyDescent="0.2">
      <c r="A136" s="1344">
        <v>116</v>
      </c>
      <c r="B136" s="1345" t="s">
        <v>410</v>
      </c>
      <c r="C136" s="1339" t="s">
        <v>1206</v>
      </c>
      <c r="D136" s="1346" t="s">
        <v>1753</v>
      </c>
      <c r="E136" s="1350">
        <v>44292</v>
      </c>
      <c r="F136" s="1349" t="s">
        <v>1325</v>
      </c>
      <c r="G136" s="1348">
        <v>0</v>
      </c>
      <c r="H136" s="1406" t="s">
        <v>1742</v>
      </c>
    </row>
    <row r="137" spans="1:8" s="1343" customFormat="1" ht="15" customHeight="1" x14ac:dyDescent="0.2">
      <c r="A137" s="1337">
        <v>117</v>
      </c>
      <c r="B137" s="1338" t="s">
        <v>410</v>
      </c>
      <c r="C137" s="1339" t="s">
        <v>1206</v>
      </c>
      <c r="D137" s="1351" t="s">
        <v>1832</v>
      </c>
      <c r="E137" s="1340">
        <v>44313</v>
      </c>
      <c r="F137" s="1352" t="s">
        <v>1833</v>
      </c>
      <c r="G137" s="1353">
        <v>12700</v>
      </c>
      <c r="H137" s="1407" t="s">
        <v>1235</v>
      </c>
    </row>
    <row r="138" spans="1:8" s="1343" customFormat="1" ht="15" customHeight="1" x14ac:dyDescent="0.2">
      <c r="A138" s="1344">
        <v>118</v>
      </c>
      <c r="B138" s="1345" t="s">
        <v>410</v>
      </c>
      <c r="C138" s="1339" t="s">
        <v>1206</v>
      </c>
      <c r="D138" s="990" t="s">
        <v>446</v>
      </c>
      <c r="E138" s="1350">
        <v>44292</v>
      </c>
      <c r="F138" s="1349" t="s">
        <v>1326</v>
      </c>
      <c r="G138" s="1348">
        <v>0</v>
      </c>
      <c r="H138" s="1406" t="s">
        <v>1742</v>
      </c>
    </row>
    <row r="139" spans="1:8" s="1343" customFormat="1" ht="15" customHeight="1" x14ac:dyDescent="0.2">
      <c r="A139" s="1344">
        <v>119</v>
      </c>
      <c r="B139" s="1345" t="s">
        <v>410</v>
      </c>
      <c r="C139" s="1339" t="s">
        <v>1206</v>
      </c>
      <c r="D139" s="990" t="s">
        <v>446</v>
      </c>
      <c r="E139" s="1350">
        <v>44292</v>
      </c>
      <c r="F139" s="1349" t="s">
        <v>1327</v>
      </c>
      <c r="G139" s="1348">
        <v>0</v>
      </c>
      <c r="H139" s="1406" t="s">
        <v>1742</v>
      </c>
    </row>
    <row r="140" spans="1:8" s="1343" customFormat="1" ht="15" customHeight="1" x14ac:dyDescent="0.2">
      <c r="A140" s="1344">
        <v>120</v>
      </c>
      <c r="B140" s="1345" t="s">
        <v>410</v>
      </c>
      <c r="C140" s="1339" t="s">
        <v>1206</v>
      </c>
      <c r="D140" s="1304" t="s">
        <v>141</v>
      </c>
      <c r="E140" s="1350">
        <v>44306</v>
      </c>
      <c r="F140" s="1349" t="s">
        <v>1328</v>
      </c>
      <c r="G140" s="1348">
        <v>78396.899999999994</v>
      </c>
      <c r="H140" s="1406" t="s">
        <v>1211</v>
      </c>
    </row>
    <row r="141" spans="1:8" s="1343" customFormat="1" ht="15" customHeight="1" x14ac:dyDescent="0.2">
      <c r="A141" s="1337">
        <v>121</v>
      </c>
      <c r="B141" s="1338" t="s">
        <v>410</v>
      </c>
      <c r="C141" s="1339" t="s">
        <v>1206</v>
      </c>
      <c r="D141" s="1307" t="s">
        <v>649</v>
      </c>
      <c r="E141" s="1340">
        <v>44292</v>
      </c>
      <c r="F141" s="1352" t="s">
        <v>1329</v>
      </c>
      <c r="G141" s="1353">
        <v>1673.75</v>
      </c>
      <c r="H141" s="1406" t="s">
        <v>1224</v>
      </c>
    </row>
    <row r="142" spans="1:8" ht="15" customHeight="1" x14ac:dyDescent="0.2">
      <c r="A142" s="1344">
        <v>122</v>
      </c>
      <c r="B142" s="1345" t="s">
        <v>410</v>
      </c>
      <c r="C142" s="1339" t="s">
        <v>1206</v>
      </c>
      <c r="D142" s="1346" t="s">
        <v>1834</v>
      </c>
      <c r="E142" s="1350">
        <v>44313</v>
      </c>
      <c r="F142" s="1349" t="s">
        <v>1330</v>
      </c>
      <c r="G142" s="1348">
        <v>0</v>
      </c>
      <c r="H142" s="1406" t="s">
        <v>1224</v>
      </c>
    </row>
    <row r="143" spans="1:8" ht="15" customHeight="1" x14ac:dyDescent="0.2">
      <c r="A143" s="1344">
        <v>123</v>
      </c>
      <c r="B143" s="1345" t="s">
        <v>410</v>
      </c>
      <c r="C143" s="1339" t="s">
        <v>1206</v>
      </c>
      <c r="D143" s="1346" t="s">
        <v>1835</v>
      </c>
      <c r="E143" s="1350">
        <v>44341</v>
      </c>
      <c r="F143" s="1349" t="s">
        <v>1331</v>
      </c>
      <c r="G143" s="1348">
        <v>0</v>
      </c>
      <c r="H143" s="1406" t="s">
        <v>1213</v>
      </c>
    </row>
    <row r="144" spans="1:8" ht="15" customHeight="1" x14ac:dyDescent="0.2">
      <c r="A144" s="1337">
        <v>124</v>
      </c>
      <c r="B144" s="1338" t="s">
        <v>410</v>
      </c>
      <c r="C144" s="1339" t="s">
        <v>1206</v>
      </c>
      <c r="D144" s="1351" t="s">
        <v>1836</v>
      </c>
      <c r="E144" s="1340">
        <v>44313</v>
      </c>
      <c r="F144" s="1352" t="s">
        <v>1332</v>
      </c>
      <c r="G144" s="1353">
        <v>151500</v>
      </c>
      <c r="H144" s="1407" t="s">
        <v>1774</v>
      </c>
    </row>
    <row r="145" spans="1:8" ht="15" customHeight="1" x14ac:dyDescent="0.2">
      <c r="A145" s="1337">
        <v>125</v>
      </c>
      <c r="B145" s="1338" t="s">
        <v>410</v>
      </c>
      <c r="C145" s="1339" t="s">
        <v>1206</v>
      </c>
      <c r="D145" s="1346" t="s">
        <v>1837</v>
      </c>
      <c r="E145" s="1340">
        <v>44306</v>
      </c>
      <c r="F145" s="1352" t="s">
        <v>1333</v>
      </c>
      <c r="G145" s="1353">
        <v>0</v>
      </c>
      <c r="H145" s="1407" t="s">
        <v>1211</v>
      </c>
    </row>
    <row r="146" spans="1:8" ht="15" customHeight="1" x14ac:dyDescent="0.2">
      <c r="A146" s="1344">
        <v>126</v>
      </c>
      <c r="B146" s="1345" t="s">
        <v>410</v>
      </c>
      <c r="C146" s="1354" t="s">
        <v>1206</v>
      </c>
      <c r="D146" s="1304" t="s">
        <v>766</v>
      </c>
      <c r="E146" s="1350">
        <v>44306</v>
      </c>
      <c r="F146" s="1349" t="s">
        <v>1334</v>
      </c>
      <c r="G146" s="1348">
        <v>21542.27</v>
      </c>
      <c r="H146" s="1406" t="s">
        <v>1235</v>
      </c>
    </row>
    <row r="147" spans="1:8" ht="15" customHeight="1" x14ac:dyDescent="0.2">
      <c r="A147" s="1337">
        <v>127</v>
      </c>
      <c r="B147" s="1338" t="s">
        <v>410</v>
      </c>
      <c r="C147" s="1339" t="s">
        <v>1206</v>
      </c>
      <c r="D147" s="1307" t="s">
        <v>768</v>
      </c>
      <c r="E147" s="1340">
        <v>44306</v>
      </c>
      <c r="F147" s="1352" t="s">
        <v>1335</v>
      </c>
      <c r="G147" s="1353">
        <v>2248</v>
      </c>
      <c r="H147" s="1407" t="s">
        <v>1235</v>
      </c>
    </row>
    <row r="148" spans="1:8" ht="15" customHeight="1" x14ac:dyDescent="0.2">
      <c r="A148" s="1344">
        <v>128</v>
      </c>
      <c r="B148" s="1345" t="s">
        <v>410</v>
      </c>
      <c r="C148" s="1339" t="s">
        <v>1206</v>
      </c>
      <c r="D148" s="1346" t="s">
        <v>746</v>
      </c>
      <c r="E148" s="1350">
        <v>44306</v>
      </c>
      <c r="F148" s="1349" t="s">
        <v>1336</v>
      </c>
      <c r="G148" s="1348">
        <v>0</v>
      </c>
      <c r="H148" s="1406" t="s">
        <v>1742</v>
      </c>
    </row>
    <row r="149" spans="1:8" ht="15" customHeight="1" x14ac:dyDescent="0.2">
      <c r="A149" s="1344">
        <v>129</v>
      </c>
      <c r="B149" s="1345" t="s">
        <v>410</v>
      </c>
      <c r="C149" s="1339" t="s">
        <v>1206</v>
      </c>
      <c r="D149" s="990" t="s">
        <v>1753</v>
      </c>
      <c r="E149" s="1350">
        <v>44306</v>
      </c>
      <c r="F149" s="1349" t="s">
        <v>1337</v>
      </c>
      <c r="G149" s="1348">
        <v>0</v>
      </c>
      <c r="H149" s="1406" t="s">
        <v>1742</v>
      </c>
    </row>
    <row r="150" spans="1:8" ht="15" customHeight="1" x14ac:dyDescent="0.2">
      <c r="A150" s="1344">
        <v>130</v>
      </c>
      <c r="B150" s="1345" t="s">
        <v>410</v>
      </c>
      <c r="C150" s="1339" t="s">
        <v>1206</v>
      </c>
      <c r="D150" s="1304" t="s">
        <v>1838</v>
      </c>
      <c r="E150" s="1350">
        <v>44313</v>
      </c>
      <c r="F150" s="1349" t="s">
        <v>1338</v>
      </c>
      <c r="G150" s="1348">
        <v>463.64</v>
      </c>
      <c r="H150" s="1406" t="s">
        <v>1215</v>
      </c>
    </row>
    <row r="151" spans="1:8" ht="15" customHeight="1" x14ac:dyDescent="0.2">
      <c r="A151" s="1344">
        <v>131</v>
      </c>
      <c r="B151" s="1345" t="s">
        <v>410</v>
      </c>
      <c r="C151" s="1339" t="s">
        <v>1206</v>
      </c>
      <c r="D151" s="1304" t="s">
        <v>377</v>
      </c>
      <c r="E151" s="1350">
        <v>44306</v>
      </c>
      <c r="F151" s="1349" t="s">
        <v>1339</v>
      </c>
      <c r="G151" s="1348">
        <v>2177.75</v>
      </c>
      <c r="H151" s="1406" t="s">
        <v>1739</v>
      </c>
    </row>
    <row r="152" spans="1:8" ht="15" customHeight="1" x14ac:dyDescent="0.2">
      <c r="A152" s="1344">
        <v>132</v>
      </c>
      <c r="B152" s="1345" t="s">
        <v>410</v>
      </c>
      <c r="C152" s="1339" t="s">
        <v>1206</v>
      </c>
      <c r="D152" s="990" t="s">
        <v>448</v>
      </c>
      <c r="E152" s="1350">
        <v>44320</v>
      </c>
      <c r="F152" s="1349" t="s">
        <v>1340</v>
      </c>
      <c r="G152" s="1348">
        <v>872.62</v>
      </c>
      <c r="H152" s="1406" t="s">
        <v>1213</v>
      </c>
    </row>
    <row r="153" spans="1:8" ht="15" customHeight="1" x14ac:dyDescent="0.2">
      <c r="A153" s="1344">
        <v>133</v>
      </c>
      <c r="B153" s="1345" t="s">
        <v>410</v>
      </c>
      <c r="C153" s="1339" t="s">
        <v>1206</v>
      </c>
      <c r="D153" s="1346" t="s">
        <v>1839</v>
      </c>
      <c r="E153" s="1350">
        <v>44341</v>
      </c>
      <c r="F153" s="1349" t="s">
        <v>1341</v>
      </c>
      <c r="G153" s="1348">
        <v>0</v>
      </c>
      <c r="H153" s="1406" t="s">
        <v>1224</v>
      </c>
    </row>
    <row r="154" spans="1:8" ht="22.5" customHeight="1" x14ac:dyDescent="0.2">
      <c r="A154" s="1344">
        <v>134</v>
      </c>
      <c r="B154" s="1345" t="s">
        <v>410</v>
      </c>
      <c r="C154" s="1339" t="s">
        <v>1206</v>
      </c>
      <c r="D154" s="1304" t="s">
        <v>1840</v>
      </c>
      <c r="E154" s="1350">
        <v>44341</v>
      </c>
      <c r="F154" s="1349" t="s">
        <v>1342</v>
      </c>
      <c r="G154" s="1348">
        <v>0</v>
      </c>
      <c r="H154" s="1409" t="s">
        <v>1745</v>
      </c>
    </row>
    <row r="155" spans="1:8" ht="15" customHeight="1" x14ac:dyDescent="0.2">
      <c r="A155" s="1344">
        <v>135</v>
      </c>
      <c r="B155" s="1345" t="s">
        <v>410</v>
      </c>
      <c r="C155" s="1339" t="s">
        <v>1206</v>
      </c>
      <c r="D155" s="1346" t="s">
        <v>446</v>
      </c>
      <c r="E155" s="1350">
        <v>44320</v>
      </c>
      <c r="F155" s="1349" t="s">
        <v>1343</v>
      </c>
      <c r="G155" s="1348">
        <v>0</v>
      </c>
      <c r="H155" s="1406" t="s">
        <v>1742</v>
      </c>
    </row>
    <row r="156" spans="1:8" ht="15" customHeight="1" x14ac:dyDescent="0.2">
      <c r="A156" s="1344">
        <v>136</v>
      </c>
      <c r="B156" s="1345" t="s">
        <v>410</v>
      </c>
      <c r="C156" s="1339" t="s">
        <v>1206</v>
      </c>
      <c r="D156" s="1346" t="s">
        <v>1841</v>
      </c>
      <c r="E156" s="1350">
        <v>44341</v>
      </c>
      <c r="F156" s="1349" t="s">
        <v>1344</v>
      </c>
      <c r="G156" s="1348">
        <v>0</v>
      </c>
      <c r="H156" s="1406" t="s">
        <v>1213</v>
      </c>
    </row>
    <row r="157" spans="1:8" ht="15" customHeight="1" x14ac:dyDescent="0.2">
      <c r="A157" s="1344">
        <v>137</v>
      </c>
      <c r="B157" s="1345" t="s">
        <v>410</v>
      </c>
      <c r="C157" s="1339" t="s">
        <v>1206</v>
      </c>
      <c r="D157" s="1346" t="s">
        <v>1768</v>
      </c>
      <c r="E157" s="1350">
        <v>44320</v>
      </c>
      <c r="F157" s="1349" t="s">
        <v>1345</v>
      </c>
      <c r="G157" s="1348">
        <v>66.209999999999994</v>
      </c>
      <c r="H157" s="1406" t="s">
        <v>1211</v>
      </c>
    </row>
    <row r="158" spans="1:8" ht="15" customHeight="1" x14ac:dyDescent="0.2">
      <c r="A158" s="1344">
        <v>138</v>
      </c>
      <c r="B158" s="1345" t="s">
        <v>410</v>
      </c>
      <c r="C158" s="1339" t="s">
        <v>1206</v>
      </c>
      <c r="D158" s="1346" t="s">
        <v>769</v>
      </c>
      <c r="E158" s="1350">
        <v>44341</v>
      </c>
      <c r="F158" s="1349" t="s">
        <v>1346</v>
      </c>
      <c r="G158" s="1348">
        <v>0</v>
      </c>
      <c r="H158" s="1406" t="s">
        <v>1213</v>
      </c>
    </row>
    <row r="159" spans="1:8" ht="15" customHeight="1" x14ac:dyDescent="0.2">
      <c r="A159" s="1344">
        <v>139</v>
      </c>
      <c r="B159" s="1345" t="s">
        <v>410</v>
      </c>
      <c r="C159" s="1339" t="s">
        <v>1206</v>
      </c>
      <c r="D159" s="1346" t="s">
        <v>769</v>
      </c>
      <c r="E159" s="1350">
        <v>44320</v>
      </c>
      <c r="F159" s="1349" t="s">
        <v>1347</v>
      </c>
      <c r="G159" s="1348">
        <v>0</v>
      </c>
      <c r="H159" s="1406" t="s">
        <v>1213</v>
      </c>
    </row>
    <row r="160" spans="1:8" ht="15" customHeight="1" thickBot="1" x14ac:dyDescent="0.25">
      <c r="A160" s="1355">
        <v>140</v>
      </c>
      <c r="B160" s="1356" t="s">
        <v>410</v>
      </c>
      <c r="C160" s="1371" t="s">
        <v>1206</v>
      </c>
      <c r="D160" s="1306" t="s">
        <v>1842</v>
      </c>
      <c r="E160" s="1358">
        <v>44341</v>
      </c>
      <c r="F160" s="1359" t="s">
        <v>1348</v>
      </c>
      <c r="G160" s="1360">
        <v>0</v>
      </c>
      <c r="H160" s="1408" t="s">
        <v>1224</v>
      </c>
    </row>
    <row r="161" spans="1:8" s="1343" customFormat="1" ht="15" customHeight="1" x14ac:dyDescent="0.2">
      <c r="A161" s="961"/>
      <c r="B161" s="961"/>
      <c r="C161" s="961"/>
      <c r="D161" s="961"/>
      <c r="E161" s="961"/>
      <c r="F161" s="961"/>
      <c r="G161" s="961"/>
      <c r="H161" s="1333" t="s">
        <v>641</v>
      </c>
    </row>
    <row r="162" spans="1:8" s="1343" customFormat="1" ht="16.5" customHeight="1" x14ac:dyDescent="0.2">
      <c r="A162" s="961"/>
      <c r="B162" s="961"/>
      <c r="C162" s="1845" t="s">
        <v>90</v>
      </c>
      <c r="D162" s="1845"/>
      <c r="E162" s="1845"/>
      <c r="F162" s="1845"/>
      <c r="G162" s="1845"/>
      <c r="H162" s="1845"/>
    </row>
    <row r="163" spans="1:8" s="1343" customFormat="1" ht="15" customHeight="1" x14ac:dyDescent="0.2">
      <c r="A163" s="961"/>
      <c r="B163" s="961"/>
      <c r="C163" s="1846" t="s">
        <v>1709</v>
      </c>
      <c r="D163" s="1846"/>
      <c r="E163" s="1846"/>
      <c r="F163" s="1846"/>
      <c r="G163" s="1846"/>
      <c r="H163" s="1846"/>
    </row>
    <row r="164" spans="1:8" s="1343" customFormat="1" ht="15" customHeight="1" thickBot="1" x14ac:dyDescent="0.25">
      <c r="A164" s="961"/>
      <c r="B164" s="961"/>
      <c r="C164" s="961"/>
      <c r="D164" s="961"/>
      <c r="E164" s="961"/>
      <c r="F164" s="961"/>
      <c r="G164" s="961"/>
      <c r="H164" s="1334"/>
    </row>
    <row r="165" spans="1:8" s="1343" customFormat="1" ht="34.5" customHeight="1" thickBot="1" x14ac:dyDescent="0.25">
      <c r="A165" s="1847" t="s">
        <v>6</v>
      </c>
      <c r="B165" s="1848"/>
      <c r="C165" s="1849"/>
      <c r="D165" s="1335" t="s">
        <v>7</v>
      </c>
      <c r="E165" s="1335" t="s">
        <v>638</v>
      </c>
      <c r="F165" s="1335" t="s">
        <v>138</v>
      </c>
      <c r="G165" s="1335" t="s">
        <v>140</v>
      </c>
      <c r="H165" s="1367" t="s">
        <v>139</v>
      </c>
    </row>
    <row r="166" spans="1:8" s="1343" customFormat="1" ht="22.5" customHeight="1" x14ac:dyDescent="0.2">
      <c r="A166" s="1344">
        <v>141</v>
      </c>
      <c r="B166" s="1345" t="s">
        <v>410</v>
      </c>
      <c r="C166" s="1339" t="s">
        <v>1206</v>
      </c>
      <c r="D166" s="1304" t="s">
        <v>1843</v>
      </c>
      <c r="E166" s="1350">
        <v>44341</v>
      </c>
      <c r="F166" s="1349" t="s">
        <v>1349</v>
      </c>
      <c r="G166" s="1348">
        <v>0</v>
      </c>
      <c r="H166" s="1406" t="s">
        <v>1224</v>
      </c>
    </row>
    <row r="167" spans="1:8" s="1343" customFormat="1" ht="15" customHeight="1" x14ac:dyDescent="0.2">
      <c r="A167" s="1344">
        <v>142</v>
      </c>
      <c r="B167" s="1345" t="s">
        <v>410</v>
      </c>
      <c r="C167" s="1339" t="s">
        <v>1206</v>
      </c>
      <c r="D167" s="990" t="s">
        <v>1839</v>
      </c>
      <c r="E167" s="1350">
        <v>44320</v>
      </c>
      <c r="F167" s="1349" t="s">
        <v>1350</v>
      </c>
      <c r="G167" s="1348">
        <v>0</v>
      </c>
      <c r="H167" s="1406" t="s">
        <v>1224</v>
      </c>
    </row>
    <row r="168" spans="1:8" s="1343" customFormat="1" ht="15" customHeight="1" x14ac:dyDescent="0.2">
      <c r="A168" s="1344">
        <v>143</v>
      </c>
      <c r="B168" s="1345" t="s">
        <v>410</v>
      </c>
      <c r="C168" s="1339" t="s">
        <v>1206</v>
      </c>
      <c r="D168" s="990" t="s">
        <v>765</v>
      </c>
      <c r="E168" s="1350">
        <v>44341</v>
      </c>
      <c r="F168" s="1349" t="s">
        <v>1351</v>
      </c>
      <c r="G168" s="1348">
        <v>0</v>
      </c>
      <c r="H168" s="1406" t="s">
        <v>1211</v>
      </c>
    </row>
    <row r="169" spans="1:8" s="1343" customFormat="1" ht="15" customHeight="1" x14ac:dyDescent="0.2">
      <c r="A169" s="1344">
        <v>144</v>
      </c>
      <c r="B169" s="1345" t="s">
        <v>410</v>
      </c>
      <c r="C169" s="1339" t="s">
        <v>1206</v>
      </c>
      <c r="D169" s="1304" t="s">
        <v>1844</v>
      </c>
      <c r="E169" s="1350">
        <v>44341</v>
      </c>
      <c r="F169" s="1349" t="s">
        <v>1352</v>
      </c>
      <c r="G169" s="1348">
        <v>0</v>
      </c>
      <c r="H169" s="1406" t="s">
        <v>1215</v>
      </c>
    </row>
    <row r="170" spans="1:8" s="1343" customFormat="1" ht="22.5" customHeight="1" x14ac:dyDescent="0.2">
      <c r="A170" s="1344">
        <v>145</v>
      </c>
      <c r="B170" s="1345" t="s">
        <v>410</v>
      </c>
      <c r="C170" s="1339" t="s">
        <v>1206</v>
      </c>
      <c r="D170" s="1304" t="s">
        <v>1845</v>
      </c>
      <c r="E170" s="1350">
        <v>44341</v>
      </c>
      <c r="F170" s="1349" t="s">
        <v>1353</v>
      </c>
      <c r="G170" s="1348">
        <v>0</v>
      </c>
      <c r="H170" s="1409" t="s">
        <v>1215</v>
      </c>
    </row>
    <row r="171" spans="1:8" s="1343" customFormat="1" ht="15" customHeight="1" x14ac:dyDescent="0.2">
      <c r="A171" s="1344">
        <v>146</v>
      </c>
      <c r="B171" s="1345" t="s">
        <v>410</v>
      </c>
      <c r="C171" s="1339" t="s">
        <v>1206</v>
      </c>
      <c r="D171" s="1304" t="s">
        <v>1846</v>
      </c>
      <c r="E171" s="1350">
        <v>44320</v>
      </c>
      <c r="F171" s="1349" t="s">
        <v>1354</v>
      </c>
      <c r="G171" s="1348">
        <v>0</v>
      </c>
      <c r="H171" s="1406" t="s">
        <v>1774</v>
      </c>
    </row>
    <row r="172" spans="1:8" s="1343" customFormat="1" ht="15" customHeight="1" x14ac:dyDescent="0.2">
      <c r="A172" s="1344">
        <v>147</v>
      </c>
      <c r="B172" s="1345" t="s">
        <v>410</v>
      </c>
      <c r="C172" s="1339" t="s">
        <v>1206</v>
      </c>
      <c r="D172" s="1304" t="s">
        <v>746</v>
      </c>
      <c r="E172" s="1350">
        <v>44320</v>
      </c>
      <c r="F172" s="1349" t="s">
        <v>1355</v>
      </c>
      <c r="G172" s="1348">
        <v>0</v>
      </c>
      <c r="H172" s="1406" t="s">
        <v>1742</v>
      </c>
    </row>
    <row r="173" spans="1:8" s="1343" customFormat="1" ht="15" customHeight="1" x14ac:dyDescent="0.2">
      <c r="A173" s="1344">
        <v>148</v>
      </c>
      <c r="B173" s="1345" t="s">
        <v>410</v>
      </c>
      <c r="C173" s="1339" t="s">
        <v>1206</v>
      </c>
      <c r="D173" s="1304" t="s">
        <v>1753</v>
      </c>
      <c r="E173" s="1350">
        <v>44320</v>
      </c>
      <c r="F173" s="1349" t="s">
        <v>1356</v>
      </c>
      <c r="G173" s="1348">
        <v>0</v>
      </c>
      <c r="H173" s="1406" t="s">
        <v>1742</v>
      </c>
    </row>
    <row r="174" spans="1:8" s="1343" customFormat="1" ht="15" customHeight="1" x14ac:dyDescent="0.2">
      <c r="A174" s="1344">
        <v>149</v>
      </c>
      <c r="B174" s="1345" t="s">
        <v>410</v>
      </c>
      <c r="C174" s="1339" t="s">
        <v>1206</v>
      </c>
      <c r="D174" s="990" t="s">
        <v>1847</v>
      </c>
      <c r="E174" s="1350">
        <v>44320</v>
      </c>
      <c r="F174" s="1349" t="s">
        <v>1357</v>
      </c>
      <c r="G174" s="1348">
        <v>34648.32</v>
      </c>
      <c r="H174" s="1406" t="s">
        <v>1742</v>
      </c>
    </row>
    <row r="175" spans="1:8" s="1343" customFormat="1" ht="15" customHeight="1" x14ac:dyDescent="0.2">
      <c r="A175" s="1344">
        <v>150</v>
      </c>
      <c r="B175" s="1345" t="s">
        <v>410</v>
      </c>
      <c r="C175" s="1339" t="s">
        <v>1206</v>
      </c>
      <c r="D175" s="990" t="s">
        <v>1848</v>
      </c>
      <c r="E175" s="1350">
        <v>44369</v>
      </c>
      <c r="F175" s="1349" t="s">
        <v>1358</v>
      </c>
      <c r="G175" s="1348">
        <v>34.03</v>
      </c>
      <c r="H175" s="1406" t="s">
        <v>1742</v>
      </c>
    </row>
    <row r="176" spans="1:8" s="1343" customFormat="1" ht="15" customHeight="1" x14ac:dyDescent="0.2">
      <c r="A176" s="1344">
        <v>151</v>
      </c>
      <c r="B176" s="1345" t="s">
        <v>410</v>
      </c>
      <c r="C176" s="1339" t="s">
        <v>1206</v>
      </c>
      <c r="D176" s="990" t="s">
        <v>1849</v>
      </c>
      <c r="E176" s="1350">
        <v>44369</v>
      </c>
      <c r="F176" s="1349" t="s">
        <v>1359</v>
      </c>
      <c r="G176" s="1348">
        <v>0</v>
      </c>
      <c r="H176" s="1406" t="s">
        <v>1742</v>
      </c>
    </row>
    <row r="177" spans="1:8" s="1343" customFormat="1" ht="15" customHeight="1" x14ac:dyDescent="0.2">
      <c r="A177" s="1344">
        <v>152</v>
      </c>
      <c r="B177" s="1345" t="s">
        <v>410</v>
      </c>
      <c r="C177" s="1339" t="s">
        <v>1206</v>
      </c>
      <c r="D177" s="1304" t="s">
        <v>1808</v>
      </c>
      <c r="E177" s="1350">
        <v>44334</v>
      </c>
      <c r="F177" s="1349" t="s">
        <v>1360</v>
      </c>
      <c r="G177" s="1348">
        <v>0</v>
      </c>
      <c r="H177" s="1406" t="s">
        <v>1224</v>
      </c>
    </row>
    <row r="178" spans="1:8" s="1343" customFormat="1" ht="15" customHeight="1" x14ac:dyDescent="0.2">
      <c r="A178" s="1337">
        <v>153</v>
      </c>
      <c r="B178" s="1338" t="s">
        <v>410</v>
      </c>
      <c r="C178" s="1339" t="s">
        <v>1206</v>
      </c>
      <c r="D178" s="1307" t="s">
        <v>447</v>
      </c>
      <c r="E178" s="1340">
        <v>44334</v>
      </c>
      <c r="F178" s="1352" t="s">
        <v>1361</v>
      </c>
      <c r="G178" s="1353">
        <v>245</v>
      </c>
      <c r="H178" s="1407" t="s">
        <v>1224</v>
      </c>
    </row>
    <row r="179" spans="1:8" s="1343" customFormat="1" ht="15" customHeight="1" x14ac:dyDescent="0.2">
      <c r="A179" s="1344">
        <v>154</v>
      </c>
      <c r="B179" s="1345" t="s">
        <v>410</v>
      </c>
      <c r="C179" s="1339" t="s">
        <v>1206</v>
      </c>
      <c r="D179" s="990" t="s">
        <v>376</v>
      </c>
      <c r="E179" s="1350">
        <v>44334</v>
      </c>
      <c r="F179" s="1349" t="s">
        <v>1850</v>
      </c>
      <c r="G179" s="1348">
        <v>66496.429999999993</v>
      </c>
      <c r="H179" s="1406" t="s">
        <v>1213</v>
      </c>
    </row>
    <row r="180" spans="1:8" s="1343" customFormat="1" ht="15" customHeight="1" x14ac:dyDescent="0.2">
      <c r="A180" s="1344">
        <v>155</v>
      </c>
      <c r="B180" s="1345" t="s">
        <v>410</v>
      </c>
      <c r="C180" s="1339" t="s">
        <v>1206</v>
      </c>
      <c r="D180" s="1304" t="s">
        <v>377</v>
      </c>
      <c r="E180" s="1350">
        <v>44334</v>
      </c>
      <c r="F180" s="1349" t="s">
        <v>1362</v>
      </c>
      <c r="G180" s="1348">
        <v>9964.5499999999993</v>
      </c>
      <c r="H180" s="1406" t="s">
        <v>1739</v>
      </c>
    </row>
    <row r="181" spans="1:8" ht="15" customHeight="1" x14ac:dyDescent="0.2">
      <c r="A181" s="1337">
        <v>156</v>
      </c>
      <c r="B181" s="1338" t="s">
        <v>410</v>
      </c>
      <c r="C181" s="1339" t="s">
        <v>1206</v>
      </c>
      <c r="D181" s="1307" t="s">
        <v>1851</v>
      </c>
      <c r="E181" s="1340">
        <v>44369</v>
      </c>
      <c r="F181" s="1352" t="s">
        <v>1363</v>
      </c>
      <c r="G181" s="1353">
        <v>0</v>
      </c>
      <c r="H181" s="1407" t="s">
        <v>1224</v>
      </c>
    </row>
    <row r="182" spans="1:8" s="1343" customFormat="1" ht="15" customHeight="1" x14ac:dyDescent="0.2">
      <c r="A182" s="1344">
        <v>157</v>
      </c>
      <c r="B182" s="1345" t="s">
        <v>410</v>
      </c>
      <c r="C182" s="1339" t="s">
        <v>1206</v>
      </c>
      <c r="D182" s="1304" t="s">
        <v>1852</v>
      </c>
      <c r="E182" s="1350">
        <v>44334</v>
      </c>
      <c r="F182" s="1349" t="s">
        <v>1364</v>
      </c>
      <c r="G182" s="1348">
        <v>0</v>
      </c>
      <c r="H182" s="1406" t="s">
        <v>1211</v>
      </c>
    </row>
    <row r="183" spans="1:8" s="1343" customFormat="1" ht="15" customHeight="1" x14ac:dyDescent="0.2">
      <c r="A183" s="1344">
        <v>158</v>
      </c>
      <c r="B183" s="1345" t="s">
        <v>410</v>
      </c>
      <c r="C183" s="1339" t="s">
        <v>1206</v>
      </c>
      <c r="D183" s="1346" t="s">
        <v>1853</v>
      </c>
      <c r="E183" s="1350">
        <v>44369</v>
      </c>
      <c r="F183" s="1349" t="s">
        <v>1365</v>
      </c>
      <c r="G183" s="1348">
        <v>0</v>
      </c>
      <c r="H183" s="1406" t="s">
        <v>1211</v>
      </c>
    </row>
    <row r="184" spans="1:8" s="1343" customFormat="1" ht="22.5" customHeight="1" x14ac:dyDescent="0.2">
      <c r="A184" s="1344">
        <v>159</v>
      </c>
      <c r="B184" s="1345" t="s">
        <v>410</v>
      </c>
      <c r="C184" s="1339" t="s">
        <v>1206</v>
      </c>
      <c r="D184" s="990" t="s">
        <v>1854</v>
      </c>
      <c r="E184" s="1350">
        <v>44341</v>
      </c>
      <c r="F184" s="1349" t="s">
        <v>1366</v>
      </c>
      <c r="G184" s="1348">
        <v>25</v>
      </c>
      <c r="H184" s="1406" t="s">
        <v>1745</v>
      </c>
    </row>
    <row r="185" spans="1:8" s="1343" customFormat="1" ht="15" customHeight="1" x14ac:dyDescent="0.2">
      <c r="A185" s="1344">
        <v>160</v>
      </c>
      <c r="B185" s="1345" t="s">
        <v>410</v>
      </c>
      <c r="C185" s="1339" t="s">
        <v>1206</v>
      </c>
      <c r="D185" s="1304" t="s">
        <v>1824</v>
      </c>
      <c r="E185" s="1350">
        <v>44334</v>
      </c>
      <c r="F185" s="1349" t="s">
        <v>1367</v>
      </c>
      <c r="G185" s="1348">
        <v>0</v>
      </c>
      <c r="H185" s="1406" t="s">
        <v>1224</v>
      </c>
    </row>
    <row r="186" spans="1:8" s="1343" customFormat="1" ht="15" customHeight="1" x14ac:dyDescent="0.2">
      <c r="A186" s="1337">
        <v>161</v>
      </c>
      <c r="B186" s="1338" t="s">
        <v>410</v>
      </c>
      <c r="C186" s="1339" t="s">
        <v>1206</v>
      </c>
      <c r="D186" s="1307" t="s">
        <v>1855</v>
      </c>
      <c r="E186" s="1340">
        <v>44334</v>
      </c>
      <c r="F186" s="1352" t="s">
        <v>1368</v>
      </c>
      <c r="G186" s="1353">
        <v>0</v>
      </c>
      <c r="H186" s="1406" t="s">
        <v>1745</v>
      </c>
    </row>
    <row r="187" spans="1:8" s="1343" customFormat="1" ht="22.5" customHeight="1" x14ac:dyDescent="0.2">
      <c r="A187" s="1344">
        <v>162</v>
      </c>
      <c r="B187" s="1345" t="s">
        <v>410</v>
      </c>
      <c r="C187" s="1339" t="s">
        <v>1206</v>
      </c>
      <c r="D187" s="990" t="s">
        <v>1856</v>
      </c>
      <c r="E187" s="1350">
        <v>44341</v>
      </c>
      <c r="F187" s="1349" t="s">
        <v>1369</v>
      </c>
      <c r="G187" s="1348">
        <v>0</v>
      </c>
      <c r="H187" s="1406" t="s">
        <v>1224</v>
      </c>
    </row>
    <row r="188" spans="1:8" s="1343" customFormat="1" ht="15" customHeight="1" x14ac:dyDescent="0.2">
      <c r="A188" s="1344">
        <v>163</v>
      </c>
      <c r="B188" s="1345" t="s">
        <v>410</v>
      </c>
      <c r="C188" s="1339" t="s">
        <v>1206</v>
      </c>
      <c r="D188" s="990" t="s">
        <v>1857</v>
      </c>
      <c r="E188" s="1350">
        <v>44369</v>
      </c>
      <c r="F188" s="1349" t="s">
        <v>1370</v>
      </c>
      <c r="G188" s="1348">
        <v>0</v>
      </c>
      <c r="H188" s="1406" t="s">
        <v>1224</v>
      </c>
    </row>
    <row r="189" spans="1:8" s="1343" customFormat="1" ht="15" customHeight="1" x14ac:dyDescent="0.2">
      <c r="A189" s="1344">
        <v>164</v>
      </c>
      <c r="B189" s="1345" t="s">
        <v>410</v>
      </c>
      <c r="C189" s="1339" t="s">
        <v>1206</v>
      </c>
      <c r="D189" s="1346" t="s">
        <v>746</v>
      </c>
      <c r="E189" s="1350">
        <v>44334</v>
      </c>
      <c r="F189" s="1349" t="s">
        <v>1371</v>
      </c>
      <c r="G189" s="1348">
        <v>0</v>
      </c>
      <c r="H189" s="1406" t="s">
        <v>1742</v>
      </c>
    </row>
    <row r="190" spans="1:8" s="1343" customFormat="1" ht="15" customHeight="1" x14ac:dyDescent="0.2">
      <c r="A190" s="1337">
        <v>165</v>
      </c>
      <c r="B190" s="1338" t="s">
        <v>410</v>
      </c>
      <c r="C190" s="1339" t="s">
        <v>1206</v>
      </c>
      <c r="D190" s="1351" t="s">
        <v>1753</v>
      </c>
      <c r="E190" s="1340">
        <v>44334</v>
      </c>
      <c r="F190" s="1352" t="s">
        <v>1372</v>
      </c>
      <c r="G190" s="1353">
        <v>0</v>
      </c>
      <c r="H190" s="1407" t="s">
        <v>1742</v>
      </c>
    </row>
    <row r="191" spans="1:8" s="1343" customFormat="1" ht="15" customHeight="1" x14ac:dyDescent="0.2">
      <c r="A191" s="1344">
        <v>166</v>
      </c>
      <c r="B191" s="1345" t="s">
        <v>410</v>
      </c>
      <c r="C191" s="1339" t="s">
        <v>1206</v>
      </c>
      <c r="D191" s="1346" t="s">
        <v>764</v>
      </c>
      <c r="E191" s="1350">
        <v>44334</v>
      </c>
      <c r="F191" s="1349" t="s">
        <v>1858</v>
      </c>
      <c r="G191" s="1348">
        <v>0</v>
      </c>
      <c r="H191" s="1406" t="s">
        <v>1742</v>
      </c>
    </row>
    <row r="192" spans="1:8" s="1343" customFormat="1" ht="15" customHeight="1" x14ac:dyDescent="0.2">
      <c r="A192" s="1344">
        <v>167</v>
      </c>
      <c r="B192" s="1345" t="s">
        <v>410</v>
      </c>
      <c r="C192" s="1339" t="s">
        <v>1206</v>
      </c>
      <c r="D192" s="1346" t="s">
        <v>1859</v>
      </c>
      <c r="E192" s="1350">
        <v>44341</v>
      </c>
      <c r="F192" s="1349" t="s">
        <v>1373</v>
      </c>
      <c r="G192" s="1348">
        <v>0</v>
      </c>
      <c r="H192" s="1406" t="s">
        <v>1215</v>
      </c>
    </row>
    <row r="193" spans="1:8" s="1343" customFormat="1" ht="15" customHeight="1" x14ac:dyDescent="0.2">
      <c r="A193" s="1344">
        <v>168</v>
      </c>
      <c r="B193" s="1345" t="s">
        <v>410</v>
      </c>
      <c r="C193" s="1339" t="s">
        <v>1206</v>
      </c>
      <c r="D193" s="1346" t="s">
        <v>743</v>
      </c>
      <c r="E193" s="1350">
        <v>44341</v>
      </c>
      <c r="F193" s="1349" t="s">
        <v>1374</v>
      </c>
      <c r="G193" s="1348">
        <v>0</v>
      </c>
      <c r="H193" s="1406" t="s">
        <v>1860</v>
      </c>
    </row>
    <row r="194" spans="1:8" s="1343" customFormat="1" ht="15" customHeight="1" x14ac:dyDescent="0.2">
      <c r="A194" s="1344">
        <v>169</v>
      </c>
      <c r="B194" s="1345" t="s">
        <v>410</v>
      </c>
      <c r="C194" s="1339" t="s">
        <v>1206</v>
      </c>
      <c r="D194" s="990" t="s">
        <v>645</v>
      </c>
      <c r="E194" s="1350">
        <v>44348</v>
      </c>
      <c r="F194" s="1349" t="s">
        <v>1375</v>
      </c>
      <c r="G194" s="1348">
        <v>34.9</v>
      </c>
      <c r="H194" s="1406" t="s">
        <v>1211</v>
      </c>
    </row>
    <row r="195" spans="1:8" s="1343" customFormat="1" ht="15" customHeight="1" x14ac:dyDescent="0.2">
      <c r="A195" s="1344">
        <v>170</v>
      </c>
      <c r="B195" s="1345" t="s">
        <v>410</v>
      </c>
      <c r="C195" s="1339" t="s">
        <v>1206</v>
      </c>
      <c r="D195" s="1346" t="s">
        <v>1861</v>
      </c>
      <c r="E195" s="1350">
        <v>44369</v>
      </c>
      <c r="F195" s="1349" t="s">
        <v>1376</v>
      </c>
      <c r="G195" s="1348">
        <v>0</v>
      </c>
      <c r="H195" s="1406" t="s">
        <v>1742</v>
      </c>
    </row>
    <row r="196" spans="1:8" s="1343" customFormat="1" ht="15" customHeight="1" x14ac:dyDescent="0.2">
      <c r="A196" s="1344">
        <v>171</v>
      </c>
      <c r="B196" s="1345" t="s">
        <v>410</v>
      </c>
      <c r="C196" s="1339" t="s">
        <v>1206</v>
      </c>
      <c r="D196" s="990" t="s">
        <v>1768</v>
      </c>
      <c r="E196" s="1350">
        <v>44348</v>
      </c>
      <c r="F196" s="1349" t="s">
        <v>1377</v>
      </c>
      <c r="G196" s="1348">
        <v>16.079999999999998</v>
      </c>
      <c r="H196" s="1406" t="s">
        <v>1211</v>
      </c>
    </row>
    <row r="197" spans="1:8" s="1343" customFormat="1" ht="15" customHeight="1" x14ac:dyDescent="0.2">
      <c r="A197" s="1344">
        <v>172</v>
      </c>
      <c r="B197" s="1345" t="s">
        <v>410</v>
      </c>
      <c r="C197" s="1339" t="s">
        <v>1206</v>
      </c>
      <c r="D197" s="1304" t="s">
        <v>706</v>
      </c>
      <c r="E197" s="1350">
        <v>44369</v>
      </c>
      <c r="F197" s="1349" t="s">
        <v>1378</v>
      </c>
      <c r="G197" s="1348">
        <v>0</v>
      </c>
      <c r="H197" s="1406" t="s">
        <v>1213</v>
      </c>
    </row>
    <row r="198" spans="1:8" s="1343" customFormat="1" ht="15" customHeight="1" x14ac:dyDescent="0.2">
      <c r="A198" s="1344">
        <v>173</v>
      </c>
      <c r="B198" s="1345" t="s">
        <v>410</v>
      </c>
      <c r="C198" s="1339" t="s">
        <v>1206</v>
      </c>
      <c r="D198" s="1304" t="s">
        <v>1862</v>
      </c>
      <c r="E198" s="1350">
        <v>44369</v>
      </c>
      <c r="F198" s="1349" t="s">
        <v>1379</v>
      </c>
      <c r="G198" s="1348">
        <v>0</v>
      </c>
      <c r="H198" s="1406" t="s">
        <v>1213</v>
      </c>
    </row>
    <row r="199" spans="1:8" s="1343" customFormat="1" ht="15" customHeight="1" x14ac:dyDescent="0.2">
      <c r="A199" s="1344">
        <v>174</v>
      </c>
      <c r="B199" s="1345" t="s">
        <v>410</v>
      </c>
      <c r="C199" s="1339" t="s">
        <v>1206</v>
      </c>
      <c r="D199" s="1304" t="s">
        <v>1863</v>
      </c>
      <c r="E199" s="1350">
        <v>44369</v>
      </c>
      <c r="F199" s="1349" t="s">
        <v>1380</v>
      </c>
      <c r="G199" s="1348">
        <v>0</v>
      </c>
      <c r="H199" s="1406" t="s">
        <v>1860</v>
      </c>
    </row>
    <row r="200" spans="1:8" s="1343" customFormat="1" ht="15" customHeight="1" x14ac:dyDescent="0.2">
      <c r="A200" s="1344">
        <v>175</v>
      </c>
      <c r="B200" s="1345" t="s">
        <v>410</v>
      </c>
      <c r="C200" s="1339" t="s">
        <v>1206</v>
      </c>
      <c r="D200" s="990" t="s">
        <v>1830</v>
      </c>
      <c r="E200" s="1350">
        <v>44348</v>
      </c>
      <c r="F200" s="1349" t="s">
        <v>1381</v>
      </c>
      <c r="G200" s="1348">
        <v>0</v>
      </c>
      <c r="H200" s="1406" t="s">
        <v>1211</v>
      </c>
    </row>
    <row r="201" spans="1:8" s="1343" customFormat="1" ht="15" customHeight="1" x14ac:dyDescent="0.2">
      <c r="A201" s="1344">
        <v>176</v>
      </c>
      <c r="B201" s="1345" t="s">
        <v>410</v>
      </c>
      <c r="C201" s="1339" t="s">
        <v>1206</v>
      </c>
      <c r="D201" s="1346" t="s">
        <v>1864</v>
      </c>
      <c r="E201" s="1350">
        <v>44369</v>
      </c>
      <c r="F201" s="1349" t="s">
        <v>1382</v>
      </c>
      <c r="G201" s="1348">
        <v>0</v>
      </c>
      <c r="H201" s="1406" t="s">
        <v>1745</v>
      </c>
    </row>
    <row r="202" spans="1:8" s="1343" customFormat="1" ht="15" customHeight="1" x14ac:dyDescent="0.2">
      <c r="A202" s="1344">
        <v>177</v>
      </c>
      <c r="B202" s="1345" t="s">
        <v>410</v>
      </c>
      <c r="C202" s="1339" t="s">
        <v>1206</v>
      </c>
      <c r="D202" s="990" t="s">
        <v>1865</v>
      </c>
      <c r="E202" s="1350">
        <v>44348</v>
      </c>
      <c r="F202" s="1349" t="s">
        <v>1383</v>
      </c>
      <c r="G202" s="1348">
        <v>0</v>
      </c>
      <c r="H202" s="1406" t="s">
        <v>1742</v>
      </c>
    </row>
    <row r="203" spans="1:8" s="1343" customFormat="1" ht="15" customHeight="1" x14ac:dyDescent="0.2">
      <c r="A203" s="1344">
        <v>178</v>
      </c>
      <c r="B203" s="1345" t="s">
        <v>410</v>
      </c>
      <c r="C203" s="1339" t="s">
        <v>1206</v>
      </c>
      <c r="D203" s="1346" t="s">
        <v>1866</v>
      </c>
      <c r="E203" s="1350">
        <v>44348</v>
      </c>
      <c r="F203" s="1349" t="s">
        <v>1384</v>
      </c>
      <c r="G203" s="1348">
        <v>13706.63</v>
      </c>
      <c r="H203" s="1406" t="s">
        <v>1742</v>
      </c>
    </row>
    <row r="204" spans="1:8" s="1343" customFormat="1" ht="15" customHeight="1" x14ac:dyDescent="0.2">
      <c r="A204" s="1344">
        <v>179</v>
      </c>
      <c r="B204" s="1345" t="s">
        <v>410</v>
      </c>
      <c r="C204" s="1339" t="s">
        <v>1206</v>
      </c>
      <c r="D204" s="1346" t="s">
        <v>1753</v>
      </c>
      <c r="E204" s="1350">
        <v>44348</v>
      </c>
      <c r="F204" s="1349" t="s">
        <v>1385</v>
      </c>
      <c r="G204" s="1348">
        <v>0</v>
      </c>
      <c r="H204" s="1406" t="s">
        <v>1742</v>
      </c>
    </row>
    <row r="205" spans="1:8" s="1343" customFormat="1" ht="15" customHeight="1" x14ac:dyDescent="0.2">
      <c r="A205" s="1344">
        <v>180</v>
      </c>
      <c r="B205" s="1345" t="s">
        <v>410</v>
      </c>
      <c r="C205" s="1339" t="s">
        <v>1206</v>
      </c>
      <c r="D205" s="990" t="s">
        <v>1867</v>
      </c>
      <c r="E205" s="1350">
        <v>44362</v>
      </c>
      <c r="F205" s="1349" t="s">
        <v>1386</v>
      </c>
      <c r="G205" s="1348">
        <v>1000</v>
      </c>
      <c r="H205" s="1406" t="s">
        <v>1224</v>
      </c>
    </row>
    <row r="206" spans="1:8" s="1343" customFormat="1" ht="15" customHeight="1" x14ac:dyDescent="0.2">
      <c r="A206" s="1344">
        <v>181</v>
      </c>
      <c r="B206" s="1345" t="s">
        <v>410</v>
      </c>
      <c r="C206" s="1339" t="s">
        <v>1206</v>
      </c>
      <c r="D206" s="990" t="s">
        <v>1868</v>
      </c>
      <c r="E206" s="1350">
        <v>44369</v>
      </c>
      <c r="F206" s="1349" t="s">
        <v>1387</v>
      </c>
      <c r="G206" s="1348">
        <v>0</v>
      </c>
      <c r="H206" s="1406" t="s">
        <v>1215</v>
      </c>
    </row>
    <row r="207" spans="1:8" s="1343" customFormat="1" ht="15" customHeight="1" x14ac:dyDescent="0.2">
      <c r="A207" s="1344">
        <v>182</v>
      </c>
      <c r="B207" s="1345" t="s">
        <v>410</v>
      </c>
      <c r="C207" s="1339" t="s">
        <v>1206</v>
      </c>
      <c r="D207" s="990" t="s">
        <v>1869</v>
      </c>
      <c r="E207" s="1350">
        <v>44369</v>
      </c>
      <c r="F207" s="1349" t="s">
        <v>1388</v>
      </c>
      <c r="G207" s="1348">
        <v>0</v>
      </c>
      <c r="H207" s="1406" t="s">
        <v>1215</v>
      </c>
    </row>
    <row r="208" spans="1:8" s="1343" customFormat="1" ht="15" customHeight="1" x14ac:dyDescent="0.2">
      <c r="A208" s="1344">
        <v>183</v>
      </c>
      <c r="B208" s="1345" t="s">
        <v>410</v>
      </c>
      <c r="C208" s="1339" t="s">
        <v>1206</v>
      </c>
      <c r="D208" s="1346" t="s">
        <v>1870</v>
      </c>
      <c r="E208" s="1350">
        <v>44369</v>
      </c>
      <c r="F208" s="1349" t="s">
        <v>1389</v>
      </c>
      <c r="G208" s="1348">
        <v>0</v>
      </c>
      <c r="H208" s="1406" t="s">
        <v>1215</v>
      </c>
    </row>
    <row r="209" spans="1:8" s="1343" customFormat="1" ht="15" customHeight="1" x14ac:dyDescent="0.2">
      <c r="A209" s="1344">
        <v>184</v>
      </c>
      <c r="B209" s="1345" t="s">
        <v>410</v>
      </c>
      <c r="C209" s="1339" t="s">
        <v>1206</v>
      </c>
      <c r="D209" s="990" t="s">
        <v>1871</v>
      </c>
      <c r="E209" s="1350">
        <v>44369</v>
      </c>
      <c r="F209" s="1349" t="s">
        <v>1390</v>
      </c>
      <c r="G209" s="1348">
        <v>0</v>
      </c>
      <c r="H209" s="1406" t="s">
        <v>1215</v>
      </c>
    </row>
    <row r="210" spans="1:8" s="1343" customFormat="1" ht="15" customHeight="1" x14ac:dyDescent="0.2">
      <c r="A210" s="1337">
        <v>185</v>
      </c>
      <c r="B210" s="1338" t="s">
        <v>410</v>
      </c>
      <c r="C210" s="1339" t="s">
        <v>1206</v>
      </c>
      <c r="D210" s="1351" t="s">
        <v>1872</v>
      </c>
      <c r="E210" s="1340">
        <v>44369</v>
      </c>
      <c r="F210" s="1352" t="s">
        <v>1391</v>
      </c>
      <c r="G210" s="1353">
        <v>0</v>
      </c>
      <c r="H210" s="1407" t="s">
        <v>1215</v>
      </c>
    </row>
    <row r="211" spans="1:8" s="1343" customFormat="1" ht="15" customHeight="1" x14ac:dyDescent="0.2">
      <c r="A211" s="1344">
        <v>186</v>
      </c>
      <c r="B211" s="1345" t="s">
        <v>410</v>
      </c>
      <c r="C211" s="1339" t="s">
        <v>1206</v>
      </c>
      <c r="D211" s="1346" t="s">
        <v>1839</v>
      </c>
      <c r="E211" s="1350">
        <v>44369</v>
      </c>
      <c r="F211" s="1349" t="s">
        <v>1392</v>
      </c>
      <c r="G211" s="1348">
        <v>0</v>
      </c>
      <c r="H211" s="1406" t="s">
        <v>1224</v>
      </c>
    </row>
    <row r="212" spans="1:8" s="1343" customFormat="1" ht="15" customHeight="1" x14ac:dyDescent="0.2">
      <c r="A212" s="1344">
        <v>187</v>
      </c>
      <c r="B212" s="1345" t="s">
        <v>410</v>
      </c>
      <c r="C212" s="1339" t="s">
        <v>1206</v>
      </c>
      <c r="D212" s="1304" t="s">
        <v>1867</v>
      </c>
      <c r="E212" s="1350">
        <v>44369</v>
      </c>
      <c r="F212" s="1349" t="s">
        <v>1393</v>
      </c>
      <c r="G212" s="1348">
        <v>800</v>
      </c>
      <c r="H212" s="1406" t="s">
        <v>1224</v>
      </c>
    </row>
    <row r="213" spans="1:8" s="1343" customFormat="1" ht="15" customHeight="1" thickBot="1" x14ac:dyDescent="0.25">
      <c r="A213" s="1355">
        <v>188</v>
      </c>
      <c r="B213" s="1356" t="s">
        <v>410</v>
      </c>
      <c r="C213" s="1371" t="s">
        <v>1206</v>
      </c>
      <c r="D213" s="1306" t="s">
        <v>1873</v>
      </c>
      <c r="E213" s="1358">
        <v>44369</v>
      </c>
      <c r="F213" s="1359" t="s">
        <v>1394</v>
      </c>
      <c r="G213" s="1360">
        <v>0</v>
      </c>
      <c r="H213" s="1408" t="s">
        <v>1211</v>
      </c>
    </row>
    <row r="214" spans="1:8" s="1343" customFormat="1" ht="15" customHeight="1" x14ac:dyDescent="0.2">
      <c r="B214" s="1361"/>
      <c r="C214" s="1362"/>
      <c r="E214" s="1363"/>
      <c r="F214" s="1364"/>
      <c r="G214" s="1365"/>
      <c r="H214" s="1366"/>
    </row>
    <row r="215" spans="1:8" s="1343" customFormat="1" ht="15" customHeight="1" x14ac:dyDescent="0.2">
      <c r="A215" s="961"/>
      <c r="B215" s="961"/>
      <c r="C215" s="961"/>
      <c r="D215" s="961"/>
      <c r="E215" s="961"/>
      <c r="F215" s="961"/>
      <c r="G215" s="961"/>
      <c r="H215" s="1333" t="s">
        <v>642</v>
      </c>
    </row>
    <row r="216" spans="1:8" s="1343" customFormat="1" ht="16.5" customHeight="1" x14ac:dyDescent="0.2">
      <c r="A216" s="961"/>
      <c r="B216" s="961"/>
      <c r="C216" s="1845" t="s">
        <v>90</v>
      </c>
      <c r="D216" s="1845"/>
      <c r="E216" s="1845"/>
      <c r="F216" s="1845"/>
      <c r="G216" s="1845"/>
      <c r="H216" s="1845"/>
    </row>
    <row r="217" spans="1:8" s="1343" customFormat="1" ht="15" customHeight="1" x14ac:dyDescent="0.2">
      <c r="A217" s="961"/>
      <c r="B217" s="961"/>
      <c r="C217" s="1846" t="s">
        <v>1709</v>
      </c>
      <c r="D217" s="1846"/>
      <c r="E217" s="1846"/>
      <c r="F217" s="1846"/>
      <c r="G217" s="1846"/>
      <c r="H217" s="1846"/>
    </row>
    <row r="218" spans="1:8" s="1343" customFormat="1" ht="15" customHeight="1" thickBot="1" x14ac:dyDescent="0.25">
      <c r="A218" s="961"/>
      <c r="B218" s="961"/>
      <c r="C218" s="961"/>
      <c r="D218" s="961"/>
      <c r="E218" s="961"/>
      <c r="F218" s="961"/>
      <c r="G218" s="961"/>
      <c r="H218" s="1334"/>
    </row>
    <row r="219" spans="1:8" s="1343" customFormat="1" ht="34.5" customHeight="1" thickBot="1" x14ac:dyDescent="0.25">
      <c r="A219" s="1847" t="s">
        <v>6</v>
      </c>
      <c r="B219" s="1848"/>
      <c r="C219" s="1849"/>
      <c r="D219" s="1335" t="s">
        <v>7</v>
      </c>
      <c r="E219" s="1335" t="s">
        <v>638</v>
      </c>
      <c r="F219" s="1335" t="s">
        <v>138</v>
      </c>
      <c r="G219" s="1335" t="s">
        <v>140</v>
      </c>
      <c r="H219" s="1367" t="s">
        <v>139</v>
      </c>
    </row>
    <row r="220" spans="1:8" s="1343" customFormat="1" ht="22.5" x14ac:dyDescent="0.2">
      <c r="A220" s="1344">
        <v>189</v>
      </c>
      <c r="B220" s="1345" t="s">
        <v>410</v>
      </c>
      <c r="C220" s="1339" t="s">
        <v>1206</v>
      </c>
      <c r="D220" s="990" t="s">
        <v>1874</v>
      </c>
      <c r="E220" s="1350">
        <v>44369</v>
      </c>
      <c r="F220" s="1349" t="s">
        <v>1395</v>
      </c>
      <c r="G220" s="1348">
        <v>0</v>
      </c>
      <c r="H220" s="1406" t="s">
        <v>1745</v>
      </c>
    </row>
    <row r="221" spans="1:8" s="1343" customFormat="1" ht="15" customHeight="1" x14ac:dyDescent="0.2">
      <c r="A221" s="1344">
        <v>190</v>
      </c>
      <c r="B221" s="1345" t="s">
        <v>410</v>
      </c>
      <c r="C221" s="1339" t="s">
        <v>1206</v>
      </c>
      <c r="D221" s="1304" t="s">
        <v>1875</v>
      </c>
      <c r="E221" s="1350">
        <v>44369</v>
      </c>
      <c r="F221" s="1349" t="s">
        <v>1396</v>
      </c>
      <c r="G221" s="1348">
        <v>0</v>
      </c>
      <c r="H221" s="1406" t="s">
        <v>1211</v>
      </c>
    </row>
    <row r="222" spans="1:8" s="1343" customFormat="1" ht="15" customHeight="1" x14ac:dyDescent="0.2">
      <c r="A222" s="1344">
        <v>191</v>
      </c>
      <c r="B222" s="1345" t="s">
        <v>410</v>
      </c>
      <c r="C222" s="1339" t="s">
        <v>1206</v>
      </c>
      <c r="D222" s="990" t="s">
        <v>1876</v>
      </c>
      <c r="E222" s="1350">
        <v>44369</v>
      </c>
      <c r="F222" s="1349" t="s">
        <v>1397</v>
      </c>
      <c r="G222" s="1348">
        <v>0</v>
      </c>
      <c r="H222" s="1406" t="s">
        <v>1211</v>
      </c>
    </row>
    <row r="223" spans="1:8" s="1343" customFormat="1" ht="15" customHeight="1" x14ac:dyDescent="0.2">
      <c r="A223" s="1344">
        <v>192</v>
      </c>
      <c r="B223" s="1345" t="s">
        <v>410</v>
      </c>
      <c r="C223" s="1339" t="s">
        <v>1206</v>
      </c>
      <c r="D223" s="1346" t="s">
        <v>745</v>
      </c>
      <c r="E223" s="1350">
        <v>44376</v>
      </c>
      <c r="F223" s="1349" t="s">
        <v>1398</v>
      </c>
      <c r="G223" s="1348">
        <v>0</v>
      </c>
      <c r="H223" s="1406" t="s">
        <v>1215</v>
      </c>
    </row>
    <row r="224" spans="1:8" s="1343" customFormat="1" ht="15" customHeight="1" x14ac:dyDescent="0.2">
      <c r="A224" s="1344">
        <v>193</v>
      </c>
      <c r="B224" s="1345" t="s">
        <v>410</v>
      </c>
      <c r="C224" s="1339" t="s">
        <v>1206</v>
      </c>
      <c r="D224" s="1346" t="s">
        <v>1877</v>
      </c>
      <c r="E224" s="1350">
        <v>44369</v>
      </c>
      <c r="F224" s="1349" t="s">
        <v>1399</v>
      </c>
      <c r="G224" s="1348">
        <v>0</v>
      </c>
      <c r="H224" s="1406" t="s">
        <v>1224</v>
      </c>
    </row>
    <row r="225" spans="1:8" s="1343" customFormat="1" ht="15" customHeight="1" x14ac:dyDescent="0.2">
      <c r="A225" s="1337">
        <v>194</v>
      </c>
      <c r="B225" s="1338" t="s">
        <v>410</v>
      </c>
      <c r="C225" s="1339" t="s">
        <v>1206</v>
      </c>
      <c r="D225" s="1351" t="s">
        <v>142</v>
      </c>
      <c r="E225" s="1340">
        <v>44362</v>
      </c>
      <c r="F225" s="1352" t="s">
        <v>1400</v>
      </c>
      <c r="G225" s="1353">
        <v>1012.25</v>
      </c>
      <c r="H225" s="1407" t="s">
        <v>1213</v>
      </c>
    </row>
    <row r="226" spans="1:8" s="1343" customFormat="1" ht="15" customHeight="1" x14ac:dyDescent="0.2">
      <c r="A226" s="1344">
        <v>195</v>
      </c>
      <c r="B226" s="1345" t="s">
        <v>410</v>
      </c>
      <c r="C226" s="1339" t="s">
        <v>1206</v>
      </c>
      <c r="D226" s="1304" t="s">
        <v>1839</v>
      </c>
      <c r="E226" s="1350">
        <v>44362</v>
      </c>
      <c r="F226" s="1349" t="s">
        <v>1401</v>
      </c>
      <c r="G226" s="1348">
        <v>0</v>
      </c>
      <c r="H226" s="1406" t="s">
        <v>1224</v>
      </c>
    </row>
    <row r="227" spans="1:8" s="1343" customFormat="1" ht="15" customHeight="1" x14ac:dyDescent="0.2">
      <c r="A227" s="1344">
        <v>196</v>
      </c>
      <c r="B227" s="1345" t="s">
        <v>410</v>
      </c>
      <c r="C227" s="1339" t="s">
        <v>1206</v>
      </c>
      <c r="D227" s="990" t="s">
        <v>447</v>
      </c>
      <c r="E227" s="1350">
        <v>44362</v>
      </c>
      <c r="F227" s="1349" t="s">
        <v>1402</v>
      </c>
      <c r="G227" s="1348">
        <v>1000</v>
      </c>
      <c r="H227" s="1406" t="s">
        <v>1224</v>
      </c>
    </row>
    <row r="228" spans="1:8" s="1343" customFormat="1" ht="15" customHeight="1" x14ac:dyDescent="0.2">
      <c r="A228" s="1344">
        <v>197</v>
      </c>
      <c r="B228" s="1345" t="s">
        <v>410</v>
      </c>
      <c r="C228" s="1339" t="s">
        <v>1206</v>
      </c>
      <c r="D228" s="1346" t="s">
        <v>1878</v>
      </c>
      <c r="E228" s="1350">
        <v>44362</v>
      </c>
      <c r="F228" s="1349" t="s">
        <v>1403</v>
      </c>
      <c r="G228" s="1348">
        <v>0</v>
      </c>
      <c r="H228" s="1406" t="s">
        <v>1213</v>
      </c>
    </row>
    <row r="229" spans="1:8" s="1343" customFormat="1" ht="15" customHeight="1" x14ac:dyDescent="0.2">
      <c r="A229" s="1344">
        <v>198</v>
      </c>
      <c r="B229" s="1345" t="s">
        <v>410</v>
      </c>
      <c r="C229" s="1339" t="s">
        <v>1206</v>
      </c>
      <c r="D229" s="990" t="s">
        <v>1879</v>
      </c>
      <c r="E229" s="1350">
        <v>44362</v>
      </c>
      <c r="F229" s="1349" t="s">
        <v>1404</v>
      </c>
      <c r="G229" s="1348">
        <v>0</v>
      </c>
      <c r="H229" s="1406" t="s">
        <v>1213</v>
      </c>
    </row>
    <row r="230" spans="1:8" s="1343" customFormat="1" ht="15" customHeight="1" x14ac:dyDescent="0.2">
      <c r="A230" s="1344">
        <v>199</v>
      </c>
      <c r="B230" s="1345" t="s">
        <v>410</v>
      </c>
      <c r="C230" s="1339" t="s">
        <v>1206</v>
      </c>
      <c r="D230" s="990" t="s">
        <v>1880</v>
      </c>
      <c r="E230" s="1350">
        <v>44362</v>
      </c>
      <c r="F230" s="1349" t="s">
        <v>1405</v>
      </c>
      <c r="G230" s="1348">
        <v>148.4</v>
      </c>
      <c r="H230" s="1406" t="s">
        <v>1213</v>
      </c>
    </row>
    <row r="231" spans="1:8" s="1343" customFormat="1" ht="15" customHeight="1" x14ac:dyDescent="0.2">
      <c r="A231" s="1344">
        <v>200</v>
      </c>
      <c r="B231" s="1345" t="s">
        <v>410</v>
      </c>
      <c r="C231" s="1339" t="s">
        <v>1206</v>
      </c>
      <c r="D231" s="1304" t="s">
        <v>1881</v>
      </c>
      <c r="E231" s="1350">
        <v>44369</v>
      </c>
      <c r="F231" s="1349" t="s">
        <v>1406</v>
      </c>
      <c r="G231" s="1348">
        <v>0</v>
      </c>
      <c r="H231" s="1406" t="s">
        <v>1213</v>
      </c>
    </row>
    <row r="232" spans="1:8" s="1343" customFormat="1" ht="15" customHeight="1" x14ac:dyDescent="0.2">
      <c r="A232" s="1344">
        <v>201</v>
      </c>
      <c r="B232" s="1345" t="s">
        <v>410</v>
      </c>
      <c r="C232" s="1339" t="s">
        <v>1206</v>
      </c>
      <c r="D232" s="1304" t="s">
        <v>1882</v>
      </c>
      <c r="E232" s="1350">
        <v>44362</v>
      </c>
      <c r="F232" s="1349" t="s">
        <v>1407</v>
      </c>
      <c r="G232" s="1348">
        <v>0</v>
      </c>
      <c r="H232" s="1406" t="s">
        <v>1213</v>
      </c>
    </row>
    <row r="233" spans="1:8" s="1343" customFormat="1" ht="15" customHeight="1" x14ac:dyDescent="0.2">
      <c r="A233" s="1344">
        <v>202</v>
      </c>
      <c r="B233" s="1345" t="s">
        <v>410</v>
      </c>
      <c r="C233" s="1339" t="s">
        <v>1206</v>
      </c>
      <c r="D233" s="990" t="s">
        <v>1883</v>
      </c>
      <c r="E233" s="1350">
        <v>44362</v>
      </c>
      <c r="F233" s="1349" t="s">
        <v>1408</v>
      </c>
      <c r="G233" s="1348">
        <v>0</v>
      </c>
      <c r="H233" s="1406" t="s">
        <v>1213</v>
      </c>
    </row>
    <row r="234" spans="1:8" s="1343" customFormat="1" ht="15" customHeight="1" x14ac:dyDescent="0.2">
      <c r="A234" s="1337">
        <v>203</v>
      </c>
      <c r="B234" s="1338" t="s">
        <v>410</v>
      </c>
      <c r="C234" s="1339" t="s">
        <v>1206</v>
      </c>
      <c r="D234" s="1351" t="s">
        <v>411</v>
      </c>
      <c r="E234" s="1340">
        <v>44362</v>
      </c>
      <c r="F234" s="1352" t="s">
        <v>1409</v>
      </c>
      <c r="G234" s="1353">
        <v>789.22</v>
      </c>
      <c r="H234" s="1406" t="s">
        <v>1745</v>
      </c>
    </row>
    <row r="235" spans="1:8" s="1343" customFormat="1" ht="15" customHeight="1" x14ac:dyDescent="0.2">
      <c r="A235" s="1344">
        <v>204</v>
      </c>
      <c r="B235" s="1345" t="s">
        <v>410</v>
      </c>
      <c r="C235" s="1339" t="s">
        <v>1206</v>
      </c>
      <c r="D235" s="1346" t="s">
        <v>1884</v>
      </c>
      <c r="E235" s="1350">
        <v>44362</v>
      </c>
      <c r="F235" s="1349" t="s">
        <v>1410</v>
      </c>
      <c r="G235" s="1348">
        <v>0</v>
      </c>
      <c r="H235" s="1406" t="s">
        <v>1211</v>
      </c>
    </row>
    <row r="236" spans="1:8" s="1343" customFormat="1" ht="15" customHeight="1" x14ac:dyDescent="0.2">
      <c r="A236" s="1337">
        <v>205</v>
      </c>
      <c r="B236" s="1338" t="s">
        <v>410</v>
      </c>
      <c r="C236" s="1339" t="s">
        <v>1206</v>
      </c>
      <c r="D236" s="1375" t="s">
        <v>640</v>
      </c>
      <c r="E236" s="1340">
        <v>44362</v>
      </c>
      <c r="F236" s="1352" t="s">
        <v>1411</v>
      </c>
      <c r="G236" s="1353">
        <v>0</v>
      </c>
      <c r="H236" s="1407" t="s">
        <v>1750</v>
      </c>
    </row>
    <row r="237" spans="1:8" s="1343" customFormat="1" ht="15" customHeight="1" x14ac:dyDescent="0.2">
      <c r="A237" s="1344">
        <v>206</v>
      </c>
      <c r="B237" s="1345" t="s">
        <v>410</v>
      </c>
      <c r="C237" s="1354" t="s">
        <v>1206</v>
      </c>
      <c r="D237" s="1346" t="s">
        <v>1885</v>
      </c>
      <c r="E237" s="1350">
        <v>44362</v>
      </c>
      <c r="F237" s="1349" t="s">
        <v>1412</v>
      </c>
      <c r="G237" s="1348">
        <v>0</v>
      </c>
      <c r="H237" s="1406" t="s">
        <v>1211</v>
      </c>
    </row>
    <row r="238" spans="1:8" s="1343" customFormat="1" ht="15" customHeight="1" x14ac:dyDescent="0.2">
      <c r="A238" s="1337">
        <v>207</v>
      </c>
      <c r="B238" s="1338" t="s">
        <v>410</v>
      </c>
      <c r="C238" s="1339" t="s">
        <v>1206</v>
      </c>
      <c r="D238" s="1351" t="s">
        <v>1852</v>
      </c>
      <c r="E238" s="1340">
        <v>44362</v>
      </c>
      <c r="F238" s="1352" t="s">
        <v>1413</v>
      </c>
      <c r="G238" s="1353">
        <v>0</v>
      </c>
      <c r="H238" s="1407" t="s">
        <v>1211</v>
      </c>
    </row>
    <row r="239" spans="1:8" s="1343" customFormat="1" ht="15" customHeight="1" x14ac:dyDescent="0.2">
      <c r="A239" s="1344">
        <v>208</v>
      </c>
      <c r="B239" s="1345" t="s">
        <v>410</v>
      </c>
      <c r="C239" s="1354" t="s">
        <v>1206</v>
      </c>
      <c r="D239" s="1346" t="s">
        <v>1795</v>
      </c>
      <c r="E239" s="1350">
        <v>44362</v>
      </c>
      <c r="F239" s="1349" t="s">
        <v>1414</v>
      </c>
      <c r="G239" s="1348">
        <v>0</v>
      </c>
      <c r="H239" s="1406" t="s">
        <v>1211</v>
      </c>
    </row>
    <row r="240" spans="1:8" s="1343" customFormat="1" ht="15" customHeight="1" x14ac:dyDescent="0.2">
      <c r="A240" s="1337">
        <v>209</v>
      </c>
      <c r="B240" s="1338" t="s">
        <v>410</v>
      </c>
      <c r="C240" s="1354" t="s">
        <v>1206</v>
      </c>
      <c r="D240" s="1351" t="s">
        <v>1886</v>
      </c>
      <c r="E240" s="1340">
        <v>44369</v>
      </c>
      <c r="F240" s="1352" t="s">
        <v>1415</v>
      </c>
      <c r="G240" s="1353">
        <v>0</v>
      </c>
      <c r="H240" s="1407" t="s">
        <v>1215</v>
      </c>
    </row>
    <row r="241" spans="1:8" s="1343" customFormat="1" ht="15" customHeight="1" x14ac:dyDescent="0.2">
      <c r="A241" s="1344">
        <v>210</v>
      </c>
      <c r="B241" s="1345" t="s">
        <v>410</v>
      </c>
      <c r="C241" s="1354" t="s">
        <v>1206</v>
      </c>
      <c r="D241" s="990" t="s">
        <v>768</v>
      </c>
      <c r="E241" s="1350">
        <v>44362</v>
      </c>
      <c r="F241" s="1349" t="s">
        <v>1416</v>
      </c>
      <c r="G241" s="1348">
        <v>192938.71</v>
      </c>
      <c r="H241" s="1409" t="s">
        <v>1860</v>
      </c>
    </row>
    <row r="242" spans="1:8" s="1343" customFormat="1" ht="15" customHeight="1" x14ac:dyDescent="0.2">
      <c r="A242" s="1344">
        <v>211</v>
      </c>
      <c r="B242" s="1345" t="s">
        <v>410</v>
      </c>
      <c r="C242" s="1354" t="s">
        <v>1206</v>
      </c>
      <c r="D242" s="1304" t="s">
        <v>1887</v>
      </c>
      <c r="E242" s="1350">
        <v>44362</v>
      </c>
      <c r="F242" s="1349" t="s">
        <v>1417</v>
      </c>
      <c r="G242" s="1348">
        <v>0</v>
      </c>
      <c r="H242" s="1409" t="s">
        <v>1224</v>
      </c>
    </row>
    <row r="243" spans="1:8" s="1343" customFormat="1" ht="15" customHeight="1" x14ac:dyDescent="0.2">
      <c r="A243" s="1344">
        <v>212</v>
      </c>
      <c r="B243" s="1345" t="s">
        <v>410</v>
      </c>
      <c r="C243" s="1354" t="s">
        <v>1206</v>
      </c>
      <c r="D243" s="1346" t="s">
        <v>746</v>
      </c>
      <c r="E243" s="1350">
        <v>44362</v>
      </c>
      <c r="F243" s="1349" t="s">
        <v>1418</v>
      </c>
      <c r="G243" s="1348">
        <v>0</v>
      </c>
      <c r="H243" s="1406" t="s">
        <v>1742</v>
      </c>
    </row>
    <row r="244" spans="1:8" s="1343" customFormat="1" ht="15" customHeight="1" x14ac:dyDescent="0.2">
      <c r="A244" s="1344">
        <v>213</v>
      </c>
      <c r="B244" s="1345" t="s">
        <v>410</v>
      </c>
      <c r="C244" s="1354" t="s">
        <v>1206</v>
      </c>
      <c r="D244" s="1304" t="s">
        <v>1753</v>
      </c>
      <c r="E244" s="1350">
        <v>44362</v>
      </c>
      <c r="F244" s="1349" t="s">
        <v>1419</v>
      </c>
      <c r="G244" s="1348">
        <v>0</v>
      </c>
      <c r="H244" s="1406" t="s">
        <v>1742</v>
      </c>
    </row>
    <row r="245" spans="1:8" s="1343" customFormat="1" ht="15" customHeight="1" x14ac:dyDescent="0.2">
      <c r="A245" s="1344">
        <v>214</v>
      </c>
      <c r="B245" s="1345" t="s">
        <v>410</v>
      </c>
      <c r="C245" s="1354" t="s">
        <v>1206</v>
      </c>
      <c r="D245" s="990" t="s">
        <v>1888</v>
      </c>
      <c r="E245" s="1350">
        <v>44362</v>
      </c>
      <c r="F245" s="1349" t="s">
        <v>1420</v>
      </c>
      <c r="G245" s="1348">
        <v>0</v>
      </c>
      <c r="H245" s="1406" t="s">
        <v>1742</v>
      </c>
    </row>
    <row r="246" spans="1:8" s="1343" customFormat="1" ht="15" customHeight="1" x14ac:dyDescent="0.2">
      <c r="A246" s="1337">
        <v>215</v>
      </c>
      <c r="B246" s="1338" t="s">
        <v>410</v>
      </c>
      <c r="C246" s="1354" t="s">
        <v>1206</v>
      </c>
      <c r="D246" s="1375" t="s">
        <v>1889</v>
      </c>
      <c r="E246" s="1340">
        <v>44362</v>
      </c>
      <c r="F246" s="1352" t="s">
        <v>1421</v>
      </c>
      <c r="G246" s="1353">
        <v>0</v>
      </c>
      <c r="H246" s="1406" t="s">
        <v>1215</v>
      </c>
    </row>
    <row r="247" spans="1:8" s="1343" customFormat="1" ht="15" customHeight="1" x14ac:dyDescent="0.2">
      <c r="A247" s="1344">
        <v>216</v>
      </c>
      <c r="B247" s="1345" t="s">
        <v>410</v>
      </c>
      <c r="C247" s="1354" t="s">
        <v>1206</v>
      </c>
      <c r="D247" s="1346" t="s">
        <v>1890</v>
      </c>
      <c r="E247" s="1350">
        <v>44376</v>
      </c>
      <c r="F247" s="1349" t="s">
        <v>1422</v>
      </c>
      <c r="G247" s="1348">
        <v>0</v>
      </c>
      <c r="H247" s="1406" t="s">
        <v>1860</v>
      </c>
    </row>
    <row r="248" spans="1:8" s="1343" customFormat="1" ht="15" customHeight="1" x14ac:dyDescent="0.2">
      <c r="A248" s="1344">
        <v>217</v>
      </c>
      <c r="B248" s="1345" t="s">
        <v>410</v>
      </c>
      <c r="C248" s="1354" t="s">
        <v>1206</v>
      </c>
      <c r="D248" s="1346" t="s">
        <v>768</v>
      </c>
      <c r="E248" s="1350">
        <v>44362</v>
      </c>
      <c r="F248" s="1349" t="s">
        <v>1423</v>
      </c>
      <c r="G248" s="1348">
        <v>12801.5</v>
      </c>
      <c r="H248" s="1406" t="s">
        <v>1860</v>
      </c>
    </row>
    <row r="249" spans="1:8" s="1343" customFormat="1" ht="15" customHeight="1" x14ac:dyDescent="0.2">
      <c r="A249" s="1344">
        <v>218</v>
      </c>
      <c r="B249" s="1345" t="s">
        <v>410</v>
      </c>
      <c r="C249" s="1354" t="s">
        <v>1206</v>
      </c>
      <c r="D249" s="990" t="s">
        <v>1891</v>
      </c>
      <c r="E249" s="1350">
        <v>44439</v>
      </c>
      <c r="F249" s="1349" t="s">
        <v>1424</v>
      </c>
      <c r="G249" s="1348">
        <v>0</v>
      </c>
      <c r="H249" s="1406" t="s">
        <v>1215</v>
      </c>
    </row>
    <row r="250" spans="1:8" s="1343" customFormat="1" ht="15" customHeight="1" x14ac:dyDescent="0.2">
      <c r="A250" s="1344">
        <v>219</v>
      </c>
      <c r="B250" s="1345" t="s">
        <v>410</v>
      </c>
      <c r="C250" s="1354" t="s">
        <v>1206</v>
      </c>
      <c r="D250" s="990" t="s">
        <v>1830</v>
      </c>
      <c r="E250" s="1350">
        <v>44376</v>
      </c>
      <c r="F250" s="1349" t="s">
        <v>1425</v>
      </c>
      <c r="G250" s="1348">
        <v>0</v>
      </c>
      <c r="H250" s="1406" t="s">
        <v>1211</v>
      </c>
    </row>
    <row r="251" spans="1:8" s="1343" customFormat="1" ht="15" customHeight="1" x14ac:dyDescent="0.2">
      <c r="A251" s="1344">
        <v>220</v>
      </c>
      <c r="B251" s="1345" t="s">
        <v>410</v>
      </c>
      <c r="C251" s="1354" t="s">
        <v>1206</v>
      </c>
      <c r="D251" s="1346" t="s">
        <v>1887</v>
      </c>
      <c r="E251" s="1350">
        <v>44376</v>
      </c>
      <c r="F251" s="1349" t="s">
        <v>1426</v>
      </c>
      <c r="G251" s="1348">
        <v>0</v>
      </c>
      <c r="H251" s="1406" t="s">
        <v>1224</v>
      </c>
    </row>
    <row r="252" spans="1:8" s="1343" customFormat="1" ht="15" customHeight="1" x14ac:dyDescent="0.2">
      <c r="A252" s="1344">
        <v>221</v>
      </c>
      <c r="B252" s="1345" t="s">
        <v>410</v>
      </c>
      <c r="C252" s="1354" t="s">
        <v>1206</v>
      </c>
      <c r="D252" s="1346" t="s">
        <v>142</v>
      </c>
      <c r="E252" s="1350">
        <v>44376</v>
      </c>
      <c r="F252" s="1349" t="s">
        <v>1427</v>
      </c>
      <c r="G252" s="1348">
        <v>623.25</v>
      </c>
      <c r="H252" s="1406" t="s">
        <v>1213</v>
      </c>
    </row>
    <row r="253" spans="1:8" s="1343" customFormat="1" ht="15" customHeight="1" x14ac:dyDescent="0.2">
      <c r="A253" s="1344">
        <v>222</v>
      </c>
      <c r="B253" s="1345" t="s">
        <v>410</v>
      </c>
      <c r="C253" s="1354" t="s">
        <v>1206</v>
      </c>
      <c r="D253" s="1304" t="s">
        <v>704</v>
      </c>
      <c r="E253" s="1350">
        <v>44376</v>
      </c>
      <c r="F253" s="1349" t="s">
        <v>1428</v>
      </c>
      <c r="G253" s="1348">
        <v>0</v>
      </c>
      <c r="H253" s="1406" t="s">
        <v>1742</v>
      </c>
    </row>
    <row r="254" spans="1:8" s="1343" customFormat="1" ht="15" customHeight="1" x14ac:dyDescent="0.2">
      <c r="A254" s="1344">
        <v>223</v>
      </c>
      <c r="B254" s="1345" t="s">
        <v>410</v>
      </c>
      <c r="C254" s="1354" t="s">
        <v>1206</v>
      </c>
      <c r="D254" s="1346" t="s">
        <v>1892</v>
      </c>
      <c r="E254" s="1350">
        <v>44376</v>
      </c>
      <c r="F254" s="1349" t="s">
        <v>1429</v>
      </c>
      <c r="G254" s="1348">
        <v>95</v>
      </c>
      <c r="H254" s="1406" t="s">
        <v>1742</v>
      </c>
    </row>
    <row r="255" spans="1:8" s="1343" customFormat="1" ht="15" customHeight="1" x14ac:dyDescent="0.2">
      <c r="A255" s="1344">
        <v>224</v>
      </c>
      <c r="B255" s="1345" t="s">
        <v>410</v>
      </c>
      <c r="C255" s="1354" t="s">
        <v>1206</v>
      </c>
      <c r="D255" s="990" t="s">
        <v>746</v>
      </c>
      <c r="E255" s="1350">
        <v>44376</v>
      </c>
      <c r="F255" s="1349" t="s">
        <v>1430</v>
      </c>
      <c r="G255" s="1348">
        <v>0</v>
      </c>
      <c r="H255" s="1406" t="s">
        <v>1742</v>
      </c>
    </row>
    <row r="256" spans="1:8" s="1343" customFormat="1" ht="15" customHeight="1" x14ac:dyDescent="0.2">
      <c r="A256" s="1344">
        <v>225</v>
      </c>
      <c r="B256" s="1345" t="s">
        <v>410</v>
      </c>
      <c r="C256" s="1354" t="s">
        <v>1206</v>
      </c>
      <c r="D256" s="990" t="s">
        <v>1753</v>
      </c>
      <c r="E256" s="1350">
        <v>44376</v>
      </c>
      <c r="F256" s="1349" t="s">
        <v>1431</v>
      </c>
      <c r="G256" s="1348">
        <v>0</v>
      </c>
      <c r="H256" s="1406" t="s">
        <v>1742</v>
      </c>
    </row>
    <row r="257" spans="1:8" s="1343" customFormat="1" ht="15" customHeight="1" x14ac:dyDescent="0.2">
      <c r="A257" s="1344">
        <v>226</v>
      </c>
      <c r="B257" s="1345" t="s">
        <v>410</v>
      </c>
      <c r="C257" s="1354" t="s">
        <v>1206</v>
      </c>
      <c r="D257" s="990" t="s">
        <v>742</v>
      </c>
      <c r="E257" s="1350">
        <v>44439</v>
      </c>
      <c r="F257" s="1349" t="s">
        <v>1279</v>
      </c>
      <c r="G257" s="1348">
        <v>0</v>
      </c>
      <c r="H257" s="1406" t="s">
        <v>1215</v>
      </c>
    </row>
    <row r="258" spans="1:8" s="1343" customFormat="1" ht="15" customHeight="1" x14ac:dyDescent="0.2">
      <c r="A258" s="1344">
        <v>227</v>
      </c>
      <c r="B258" s="1345" t="s">
        <v>410</v>
      </c>
      <c r="C258" s="1354" t="s">
        <v>1206</v>
      </c>
      <c r="D258" s="1346" t="s">
        <v>1839</v>
      </c>
      <c r="E258" s="1350">
        <v>44390</v>
      </c>
      <c r="F258" s="1349" t="s">
        <v>1432</v>
      </c>
      <c r="G258" s="1348">
        <v>0</v>
      </c>
      <c r="H258" s="1406" t="s">
        <v>1224</v>
      </c>
    </row>
    <row r="259" spans="1:8" s="1343" customFormat="1" ht="15" customHeight="1" x14ac:dyDescent="0.2">
      <c r="A259" s="1344">
        <v>228</v>
      </c>
      <c r="B259" s="1345" t="s">
        <v>410</v>
      </c>
      <c r="C259" s="1354" t="s">
        <v>1206</v>
      </c>
      <c r="D259" s="1346" t="s">
        <v>1893</v>
      </c>
      <c r="E259" s="1350">
        <v>44384</v>
      </c>
      <c r="F259" s="1349" t="s">
        <v>1894</v>
      </c>
      <c r="G259" s="1348">
        <v>0</v>
      </c>
      <c r="H259" s="1406" t="s">
        <v>1215</v>
      </c>
    </row>
    <row r="260" spans="1:8" s="1343" customFormat="1" ht="15" customHeight="1" x14ac:dyDescent="0.2">
      <c r="A260" s="1344">
        <v>229</v>
      </c>
      <c r="B260" s="1345" t="s">
        <v>410</v>
      </c>
      <c r="C260" s="1354" t="s">
        <v>1206</v>
      </c>
      <c r="D260" s="1346" t="s">
        <v>1895</v>
      </c>
      <c r="E260" s="1350">
        <v>44439</v>
      </c>
      <c r="F260" s="1349" t="s">
        <v>1433</v>
      </c>
      <c r="G260" s="1348">
        <v>0</v>
      </c>
      <c r="H260" s="1406" t="s">
        <v>1211</v>
      </c>
    </row>
    <row r="261" spans="1:8" s="1343" customFormat="1" ht="15" customHeight="1" x14ac:dyDescent="0.2">
      <c r="A261" s="1344">
        <v>230</v>
      </c>
      <c r="B261" s="1345" t="s">
        <v>410</v>
      </c>
      <c r="C261" s="1354" t="s">
        <v>1206</v>
      </c>
      <c r="D261" s="1346" t="s">
        <v>376</v>
      </c>
      <c r="E261" s="1350">
        <v>44390</v>
      </c>
      <c r="F261" s="1349" t="s">
        <v>1434</v>
      </c>
      <c r="G261" s="1348">
        <v>276.06</v>
      </c>
      <c r="H261" s="1406" t="s">
        <v>1213</v>
      </c>
    </row>
    <row r="262" spans="1:8" s="1343" customFormat="1" ht="22.5" customHeight="1" x14ac:dyDescent="0.2">
      <c r="A262" s="1344">
        <v>231</v>
      </c>
      <c r="B262" s="1345" t="s">
        <v>410</v>
      </c>
      <c r="C262" s="1354" t="s">
        <v>1206</v>
      </c>
      <c r="D262" s="990" t="s">
        <v>1896</v>
      </c>
      <c r="E262" s="1350">
        <v>44439</v>
      </c>
      <c r="F262" s="1349" t="s">
        <v>1435</v>
      </c>
      <c r="G262" s="1348">
        <v>4157.3599999999997</v>
      </c>
      <c r="H262" s="1406" t="s">
        <v>1213</v>
      </c>
    </row>
    <row r="263" spans="1:8" s="1343" customFormat="1" ht="15" customHeight="1" x14ac:dyDescent="0.2">
      <c r="A263" s="1344">
        <v>232</v>
      </c>
      <c r="B263" s="1345" t="s">
        <v>410</v>
      </c>
      <c r="C263" s="1354" t="s">
        <v>1206</v>
      </c>
      <c r="D263" s="990" t="s">
        <v>1897</v>
      </c>
      <c r="E263" s="1350">
        <v>44390</v>
      </c>
      <c r="F263" s="1349" t="s">
        <v>1436</v>
      </c>
      <c r="G263" s="1348">
        <v>0</v>
      </c>
      <c r="H263" s="1406" t="s">
        <v>1213</v>
      </c>
    </row>
    <row r="264" spans="1:8" s="1343" customFormat="1" ht="15" customHeight="1" x14ac:dyDescent="0.2">
      <c r="A264" s="1344">
        <v>233</v>
      </c>
      <c r="B264" s="1345" t="s">
        <v>410</v>
      </c>
      <c r="C264" s="1354" t="s">
        <v>1206</v>
      </c>
      <c r="D264" s="1346" t="s">
        <v>1898</v>
      </c>
      <c r="E264" s="1350">
        <v>44390</v>
      </c>
      <c r="F264" s="1349" t="s">
        <v>1437</v>
      </c>
      <c r="G264" s="1348">
        <v>0</v>
      </c>
      <c r="H264" s="1406" t="s">
        <v>1739</v>
      </c>
    </row>
    <row r="265" spans="1:8" s="1343" customFormat="1" ht="15" customHeight="1" x14ac:dyDescent="0.2">
      <c r="A265" s="1337">
        <v>234</v>
      </c>
      <c r="B265" s="1338" t="s">
        <v>410</v>
      </c>
      <c r="C265" s="1354" t="s">
        <v>1206</v>
      </c>
      <c r="D265" s="1375" t="s">
        <v>1899</v>
      </c>
      <c r="E265" s="1340">
        <v>44439</v>
      </c>
      <c r="F265" s="1352" t="s">
        <v>1438</v>
      </c>
      <c r="G265" s="1353">
        <v>0</v>
      </c>
      <c r="H265" s="1407" t="s">
        <v>1739</v>
      </c>
    </row>
    <row r="266" spans="1:8" s="1343" customFormat="1" ht="15" customHeight="1" x14ac:dyDescent="0.2">
      <c r="A266" s="1337">
        <v>235</v>
      </c>
      <c r="B266" s="1338" t="s">
        <v>410</v>
      </c>
      <c r="C266" s="1354" t="s">
        <v>1206</v>
      </c>
      <c r="D266" s="1375" t="s">
        <v>1900</v>
      </c>
      <c r="E266" s="1340">
        <v>44439</v>
      </c>
      <c r="F266" s="1352" t="s">
        <v>1439</v>
      </c>
      <c r="G266" s="1353">
        <v>0</v>
      </c>
      <c r="H266" s="1406" t="s">
        <v>1213</v>
      </c>
    </row>
    <row r="267" spans="1:8" s="1343" customFormat="1" ht="15" customHeight="1" x14ac:dyDescent="0.2">
      <c r="A267" s="1344">
        <v>236</v>
      </c>
      <c r="B267" s="1345" t="s">
        <v>410</v>
      </c>
      <c r="C267" s="1354" t="s">
        <v>1206</v>
      </c>
      <c r="D267" s="990" t="s">
        <v>1895</v>
      </c>
      <c r="E267" s="1350">
        <v>44390</v>
      </c>
      <c r="F267" s="1349" t="s">
        <v>1440</v>
      </c>
      <c r="G267" s="1348">
        <v>0</v>
      </c>
      <c r="H267" s="1406" t="s">
        <v>1211</v>
      </c>
    </row>
    <row r="268" spans="1:8" s="1343" customFormat="1" ht="15" customHeight="1" thickBot="1" x14ac:dyDescent="0.25">
      <c r="A268" s="1355">
        <v>237</v>
      </c>
      <c r="B268" s="1356" t="s">
        <v>410</v>
      </c>
      <c r="C268" s="1357" t="s">
        <v>1206</v>
      </c>
      <c r="D268" s="1372" t="s">
        <v>141</v>
      </c>
      <c r="E268" s="1358">
        <v>44390</v>
      </c>
      <c r="F268" s="1359" t="s">
        <v>1441</v>
      </c>
      <c r="G268" s="1360">
        <v>70358.22</v>
      </c>
      <c r="H268" s="1408" t="s">
        <v>1211</v>
      </c>
    </row>
    <row r="269" spans="1:8" s="1343" customFormat="1" ht="15" customHeight="1" x14ac:dyDescent="0.2">
      <c r="B269" s="1361"/>
      <c r="C269" s="1362"/>
      <c r="E269" s="1363"/>
      <c r="F269" s="1364"/>
      <c r="G269" s="1365"/>
      <c r="H269" s="1366"/>
    </row>
    <row r="270" spans="1:8" s="1343" customFormat="1" ht="15" customHeight="1" x14ac:dyDescent="0.2">
      <c r="A270" s="961"/>
      <c r="B270" s="961"/>
      <c r="C270" s="961"/>
      <c r="D270" s="961"/>
      <c r="E270" s="961"/>
      <c r="F270" s="961"/>
      <c r="G270" s="961"/>
      <c r="H270" s="1333" t="s">
        <v>643</v>
      </c>
    </row>
    <row r="271" spans="1:8" s="1343" customFormat="1" ht="15" customHeight="1" x14ac:dyDescent="0.2">
      <c r="A271" s="961"/>
      <c r="B271" s="961"/>
      <c r="C271" s="1845" t="s">
        <v>90</v>
      </c>
      <c r="D271" s="1845"/>
      <c r="E271" s="1845"/>
      <c r="F271" s="1845"/>
      <c r="G271" s="1845"/>
      <c r="H271" s="1845"/>
    </row>
    <row r="272" spans="1:8" s="1343" customFormat="1" ht="15" customHeight="1" x14ac:dyDescent="0.2">
      <c r="A272" s="961"/>
      <c r="B272" s="961"/>
      <c r="C272" s="1846" t="s">
        <v>1709</v>
      </c>
      <c r="D272" s="1846"/>
      <c r="E272" s="1846"/>
      <c r="F272" s="1846"/>
      <c r="G272" s="1846"/>
      <c r="H272" s="1846"/>
    </row>
    <row r="273" spans="1:8" s="1343" customFormat="1" ht="15" customHeight="1" thickBot="1" x14ac:dyDescent="0.25">
      <c r="A273" s="961"/>
      <c r="B273" s="961"/>
      <c r="C273" s="961"/>
      <c r="D273" s="961"/>
      <c r="E273" s="961"/>
      <c r="F273" s="961"/>
      <c r="G273" s="961"/>
      <c r="H273" s="1334"/>
    </row>
    <row r="274" spans="1:8" s="1343" customFormat="1" ht="34.5" customHeight="1" thickBot="1" x14ac:dyDescent="0.25">
      <c r="A274" s="1847" t="s">
        <v>6</v>
      </c>
      <c r="B274" s="1848"/>
      <c r="C274" s="1849"/>
      <c r="D274" s="1335" t="s">
        <v>7</v>
      </c>
      <c r="E274" s="1335" t="s">
        <v>638</v>
      </c>
      <c r="F274" s="1335" t="s">
        <v>138</v>
      </c>
      <c r="G274" s="1335" t="s">
        <v>140</v>
      </c>
      <c r="H274" s="1367" t="s">
        <v>139</v>
      </c>
    </row>
    <row r="275" spans="1:8" s="1343" customFormat="1" ht="15" customHeight="1" x14ac:dyDescent="0.2">
      <c r="A275" s="1344">
        <v>238</v>
      </c>
      <c r="B275" s="1345" t="s">
        <v>410</v>
      </c>
      <c r="C275" s="1354" t="s">
        <v>1206</v>
      </c>
      <c r="D275" s="990" t="s">
        <v>1901</v>
      </c>
      <c r="E275" s="1350">
        <v>44439</v>
      </c>
      <c r="F275" s="1349" t="s">
        <v>1442</v>
      </c>
      <c r="G275" s="1348">
        <v>540.84</v>
      </c>
      <c r="H275" s="1406" t="s">
        <v>1860</v>
      </c>
    </row>
    <row r="276" spans="1:8" s="1343" customFormat="1" ht="15" customHeight="1" x14ac:dyDescent="0.2">
      <c r="A276" s="1344">
        <v>239</v>
      </c>
      <c r="B276" s="1345" t="s">
        <v>410</v>
      </c>
      <c r="C276" s="1354" t="s">
        <v>1206</v>
      </c>
      <c r="D276" s="1304" t="s">
        <v>742</v>
      </c>
      <c r="E276" s="1350">
        <v>44390</v>
      </c>
      <c r="F276" s="1349" t="s">
        <v>1443</v>
      </c>
      <c r="G276" s="1348">
        <v>0</v>
      </c>
      <c r="H276" s="1406" t="s">
        <v>1215</v>
      </c>
    </row>
    <row r="277" spans="1:8" s="1343" customFormat="1" ht="15" customHeight="1" x14ac:dyDescent="0.2">
      <c r="A277" s="1344">
        <v>240</v>
      </c>
      <c r="B277" s="1345" t="s">
        <v>410</v>
      </c>
      <c r="C277" s="1354" t="s">
        <v>1206</v>
      </c>
      <c r="D277" s="1346" t="s">
        <v>1902</v>
      </c>
      <c r="E277" s="1350">
        <v>44390</v>
      </c>
      <c r="F277" s="1349" t="s">
        <v>1444</v>
      </c>
      <c r="G277" s="1348">
        <v>151733.04999999999</v>
      </c>
      <c r="H277" s="1406" t="s">
        <v>1742</v>
      </c>
    </row>
    <row r="278" spans="1:8" s="1343" customFormat="1" ht="15" customHeight="1" x14ac:dyDescent="0.2">
      <c r="A278" s="1344">
        <v>241</v>
      </c>
      <c r="B278" s="1345" t="s">
        <v>410</v>
      </c>
      <c r="C278" s="1354" t="s">
        <v>1206</v>
      </c>
      <c r="D278" s="1346" t="s">
        <v>446</v>
      </c>
      <c r="E278" s="1350">
        <v>44390</v>
      </c>
      <c r="F278" s="1349" t="s">
        <v>1445</v>
      </c>
      <c r="G278" s="1348">
        <v>0</v>
      </c>
      <c r="H278" s="1406" t="s">
        <v>1742</v>
      </c>
    </row>
    <row r="279" spans="1:8" s="1343" customFormat="1" ht="15" customHeight="1" x14ac:dyDescent="0.2">
      <c r="A279" s="1344">
        <v>242</v>
      </c>
      <c r="B279" s="1345" t="s">
        <v>410</v>
      </c>
      <c r="C279" s="1354" t="s">
        <v>1206</v>
      </c>
      <c r="D279" s="1304" t="s">
        <v>1903</v>
      </c>
      <c r="E279" s="1350">
        <v>44390</v>
      </c>
      <c r="F279" s="1349" t="s">
        <v>1446</v>
      </c>
      <c r="G279" s="1348">
        <v>14434.63</v>
      </c>
      <c r="H279" s="1406" t="s">
        <v>1742</v>
      </c>
    </row>
    <row r="280" spans="1:8" s="1343" customFormat="1" ht="15" customHeight="1" x14ac:dyDescent="0.2">
      <c r="A280" s="1344">
        <v>243</v>
      </c>
      <c r="B280" s="1345" t="s">
        <v>410</v>
      </c>
      <c r="C280" s="1354" t="s">
        <v>1206</v>
      </c>
      <c r="D280" s="1346" t="s">
        <v>1753</v>
      </c>
      <c r="E280" s="1350">
        <v>44390</v>
      </c>
      <c r="F280" s="1349" t="s">
        <v>1447</v>
      </c>
      <c r="G280" s="1348">
        <v>0</v>
      </c>
      <c r="H280" s="1406" t="s">
        <v>1742</v>
      </c>
    </row>
    <row r="281" spans="1:8" s="1343" customFormat="1" ht="15" customHeight="1" x14ac:dyDescent="0.2">
      <c r="A281" s="1344">
        <v>244</v>
      </c>
      <c r="B281" s="1345" t="s">
        <v>410</v>
      </c>
      <c r="C281" s="1354" t="s">
        <v>1206</v>
      </c>
      <c r="D281" s="990" t="s">
        <v>1904</v>
      </c>
      <c r="E281" s="1350">
        <v>44439</v>
      </c>
      <c r="F281" s="1349" t="s">
        <v>1448</v>
      </c>
      <c r="G281" s="1348">
        <v>0</v>
      </c>
      <c r="H281" s="1406" t="s">
        <v>1224</v>
      </c>
    </row>
    <row r="282" spans="1:8" ht="15" customHeight="1" x14ac:dyDescent="0.2">
      <c r="A282" s="1344">
        <v>245</v>
      </c>
      <c r="B282" s="1345" t="s">
        <v>410</v>
      </c>
      <c r="C282" s="1354" t="s">
        <v>1206</v>
      </c>
      <c r="D282" s="990" t="s">
        <v>1905</v>
      </c>
      <c r="E282" s="1350">
        <v>44397</v>
      </c>
      <c r="F282" s="1349" t="s">
        <v>1449</v>
      </c>
      <c r="G282" s="1348">
        <v>0</v>
      </c>
      <c r="H282" s="1406" t="s">
        <v>1211</v>
      </c>
    </row>
    <row r="283" spans="1:8" ht="15" customHeight="1" x14ac:dyDescent="0.2">
      <c r="A283" s="1337">
        <v>246</v>
      </c>
      <c r="B283" s="1338" t="s">
        <v>410</v>
      </c>
      <c r="C283" s="1354" t="s">
        <v>1206</v>
      </c>
      <c r="D283" s="1375" t="s">
        <v>1883</v>
      </c>
      <c r="E283" s="1340">
        <v>44397</v>
      </c>
      <c r="F283" s="1352" t="s">
        <v>1450</v>
      </c>
      <c r="G283" s="1353">
        <v>0</v>
      </c>
      <c r="H283" s="1407" t="s">
        <v>1213</v>
      </c>
    </row>
    <row r="284" spans="1:8" ht="15" customHeight="1" x14ac:dyDescent="0.2">
      <c r="A284" s="1344">
        <v>247</v>
      </c>
      <c r="B284" s="1345" t="s">
        <v>410</v>
      </c>
      <c r="C284" s="1354" t="s">
        <v>1206</v>
      </c>
      <c r="D284" s="1346" t="s">
        <v>1906</v>
      </c>
      <c r="E284" s="1350">
        <v>44390</v>
      </c>
      <c r="F284" s="1349" t="s">
        <v>1431</v>
      </c>
      <c r="G284" s="1348">
        <v>0</v>
      </c>
      <c r="H284" s="1406" t="s">
        <v>1745</v>
      </c>
    </row>
    <row r="285" spans="1:8" ht="15" customHeight="1" x14ac:dyDescent="0.2">
      <c r="A285" s="1337">
        <v>248</v>
      </c>
      <c r="B285" s="1338" t="s">
        <v>410</v>
      </c>
      <c r="C285" s="1339" t="s">
        <v>1206</v>
      </c>
      <c r="D285" s="1307" t="s">
        <v>1907</v>
      </c>
      <c r="E285" s="1340">
        <v>44439</v>
      </c>
      <c r="F285" s="1352" t="s">
        <v>1451</v>
      </c>
      <c r="G285" s="1353">
        <v>0</v>
      </c>
      <c r="H285" s="1407" t="s">
        <v>1745</v>
      </c>
    </row>
    <row r="286" spans="1:8" ht="15" customHeight="1" x14ac:dyDescent="0.2">
      <c r="A286" s="1344">
        <v>249</v>
      </c>
      <c r="B286" s="1345" t="s">
        <v>410</v>
      </c>
      <c r="C286" s="1339" t="s">
        <v>1206</v>
      </c>
      <c r="D286" s="1346" t="s">
        <v>141</v>
      </c>
      <c r="E286" s="1350">
        <v>44446</v>
      </c>
      <c r="F286" s="1349" t="s">
        <v>1452</v>
      </c>
      <c r="G286" s="1348">
        <v>3065.61</v>
      </c>
      <c r="H286" s="1406" t="s">
        <v>1211</v>
      </c>
    </row>
    <row r="287" spans="1:8" ht="15" customHeight="1" x14ac:dyDescent="0.2">
      <c r="A287" s="1344">
        <v>250</v>
      </c>
      <c r="B287" s="1345" t="s">
        <v>410</v>
      </c>
      <c r="C287" s="1339" t="s">
        <v>1206</v>
      </c>
      <c r="D287" s="1346" t="s">
        <v>1908</v>
      </c>
      <c r="E287" s="1350">
        <v>44439</v>
      </c>
      <c r="F287" s="1349" t="s">
        <v>1453</v>
      </c>
      <c r="G287" s="1348">
        <v>0</v>
      </c>
      <c r="H287" s="1406" t="s">
        <v>1213</v>
      </c>
    </row>
    <row r="288" spans="1:8" ht="15" customHeight="1" x14ac:dyDescent="0.2">
      <c r="A288" s="1344">
        <v>251</v>
      </c>
      <c r="B288" s="1345" t="s">
        <v>410</v>
      </c>
      <c r="C288" s="1339" t="s">
        <v>1206</v>
      </c>
      <c r="D288" s="1346" t="s">
        <v>1909</v>
      </c>
      <c r="E288" s="1350">
        <v>44439</v>
      </c>
      <c r="F288" s="1349" t="s">
        <v>1454</v>
      </c>
      <c r="G288" s="1348">
        <v>0</v>
      </c>
      <c r="H288" s="1406" t="s">
        <v>1745</v>
      </c>
    </row>
    <row r="289" spans="1:8" ht="15" customHeight="1" x14ac:dyDescent="0.2">
      <c r="A289" s="1344">
        <v>252</v>
      </c>
      <c r="B289" s="1345" t="s">
        <v>410</v>
      </c>
      <c r="C289" s="1339" t="s">
        <v>1206</v>
      </c>
      <c r="D289" s="990" t="s">
        <v>1910</v>
      </c>
      <c r="E289" s="1350">
        <v>44439</v>
      </c>
      <c r="F289" s="1349" t="s">
        <v>1455</v>
      </c>
      <c r="G289" s="1348">
        <v>0</v>
      </c>
      <c r="H289" s="1406" t="s">
        <v>1745</v>
      </c>
    </row>
    <row r="290" spans="1:8" ht="15" customHeight="1" x14ac:dyDescent="0.2">
      <c r="A290" s="1344">
        <v>253</v>
      </c>
      <c r="B290" s="1345" t="s">
        <v>410</v>
      </c>
      <c r="C290" s="1339" t="s">
        <v>1206</v>
      </c>
      <c r="D290" s="1304" t="s">
        <v>1768</v>
      </c>
      <c r="E290" s="1350">
        <v>44411</v>
      </c>
      <c r="F290" s="1349" t="s">
        <v>1456</v>
      </c>
      <c r="G290" s="1348">
        <v>22.49</v>
      </c>
      <c r="H290" s="1406" t="s">
        <v>1211</v>
      </c>
    </row>
    <row r="291" spans="1:8" ht="15" customHeight="1" x14ac:dyDescent="0.2">
      <c r="A291" s="1344">
        <v>254</v>
      </c>
      <c r="B291" s="1345" t="s">
        <v>410</v>
      </c>
      <c r="C291" s="1339" t="s">
        <v>1206</v>
      </c>
      <c r="D291" s="1346" t="s">
        <v>447</v>
      </c>
      <c r="E291" s="1350">
        <v>44411</v>
      </c>
      <c r="F291" s="1349" t="s">
        <v>1457</v>
      </c>
      <c r="G291" s="1348">
        <v>1002</v>
      </c>
      <c r="H291" s="1406" t="s">
        <v>1224</v>
      </c>
    </row>
    <row r="292" spans="1:8" ht="15" customHeight="1" x14ac:dyDescent="0.2">
      <c r="A292" s="1344">
        <v>255</v>
      </c>
      <c r="B292" s="1345" t="s">
        <v>410</v>
      </c>
      <c r="C292" s="1339" t="s">
        <v>1206</v>
      </c>
      <c r="D292" s="990" t="s">
        <v>1898</v>
      </c>
      <c r="E292" s="1350">
        <v>44411</v>
      </c>
      <c r="F292" s="1349" t="s">
        <v>1458</v>
      </c>
      <c r="G292" s="1348">
        <v>0</v>
      </c>
      <c r="H292" s="1406" t="s">
        <v>1739</v>
      </c>
    </row>
    <row r="293" spans="1:8" ht="15" customHeight="1" x14ac:dyDescent="0.2">
      <c r="A293" s="1344">
        <v>256</v>
      </c>
      <c r="B293" s="1345" t="s">
        <v>410</v>
      </c>
      <c r="C293" s="1339" t="s">
        <v>1206</v>
      </c>
      <c r="D293" s="1346" t="s">
        <v>1911</v>
      </c>
      <c r="E293" s="1350">
        <v>44439</v>
      </c>
      <c r="F293" s="1349" t="s">
        <v>1459</v>
      </c>
      <c r="G293" s="1348">
        <v>23726.22</v>
      </c>
      <c r="H293" s="1406" t="s">
        <v>1211</v>
      </c>
    </row>
    <row r="294" spans="1:8" ht="15" customHeight="1" x14ac:dyDescent="0.2">
      <c r="A294" s="1344">
        <v>257</v>
      </c>
      <c r="B294" s="1345" t="s">
        <v>410</v>
      </c>
      <c r="C294" s="1339" t="s">
        <v>1206</v>
      </c>
      <c r="D294" s="1346" t="s">
        <v>1912</v>
      </c>
      <c r="E294" s="1350">
        <v>44439</v>
      </c>
      <c r="F294" s="1349" t="s">
        <v>1460</v>
      </c>
      <c r="G294" s="1348">
        <v>0</v>
      </c>
      <c r="H294" s="1406" t="s">
        <v>1211</v>
      </c>
    </row>
    <row r="295" spans="1:8" ht="15" customHeight="1" x14ac:dyDescent="0.2">
      <c r="A295" s="1344">
        <v>258</v>
      </c>
      <c r="B295" s="1345" t="s">
        <v>410</v>
      </c>
      <c r="C295" s="1339" t="s">
        <v>1206</v>
      </c>
      <c r="D295" s="990" t="s">
        <v>376</v>
      </c>
      <c r="E295" s="1350">
        <v>44411</v>
      </c>
      <c r="F295" s="1349" t="s">
        <v>1461</v>
      </c>
      <c r="G295" s="1348">
        <v>21145.82</v>
      </c>
      <c r="H295" s="1406" t="s">
        <v>1213</v>
      </c>
    </row>
    <row r="296" spans="1:8" ht="15" customHeight="1" x14ac:dyDescent="0.2">
      <c r="A296" s="1344">
        <v>259</v>
      </c>
      <c r="B296" s="1345" t="s">
        <v>410</v>
      </c>
      <c r="C296" s="1339" t="s">
        <v>1206</v>
      </c>
      <c r="D296" s="1346" t="s">
        <v>1913</v>
      </c>
      <c r="E296" s="1350">
        <v>44439</v>
      </c>
      <c r="F296" s="1349" t="s">
        <v>1462</v>
      </c>
      <c r="G296" s="1348">
        <v>0</v>
      </c>
      <c r="H296" s="1406" t="s">
        <v>1739</v>
      </c>
    </row>
    <row r="297" spans="1:8" ht="15" customHeight="1" x14ac:dyDescent="0.2">
      <c r="A297" s="1344">
        <v>260</v>
      </c>
      <c r="B297" s="1345" t="s">
        <v>410</v>
      </c>
      <c r="C297" s="1339" t="s">
        <v>1206</v>
      </c>
      <c r="D297" s="990" t="s">
        <v>742</v>
      </c>
      <c r="E297" s="1350">
        <v>44411</v>
      </c>
      <c r="F297" s="1349" t="s">
        <v>1463</v>
      </c>
      <c r="G297" s="1348">
        <v>0</v>
      </c>
      <c r="H297" s="1406" t="s">
        <v>1215</v>
      </c>
    </row>
    <row r="298" spans="1:8" ht="15" customHeight="1" x14ac:dyDescent="0.2">
      <c r="A298" s="1344">
        <v>261</v>
      </c>
      <c r="B298" s="1345" t="s">
        <v>410</v>
      </c>
      <c r="C298" s="1339" t="s">
        <v>1206</v>
      </c>
      <c r="D298" s="990" t="s">
        <v>1914</v>
      </c>
      <c r="E298" s="1350">
        <v>44439</v>
      </c>
      <c r="F298" s="1349" t="s">
        <v>1464</v>
      </c>
      <c r="G298" s="1348">
        <v>0</v>
      </c>
      <c r="H298" s="1406" t="s">
        <v>1745</v>
      </c>
    </row>
    <row r="299" spans="1:8" ht="15" customHeight="1" x14ac:dyDescent="0.2">
      <c r="A299" s="1344">
        <v>262</v>
      </c>
      <c r="B299" s="1345" t="s">
        <v>410</v>
      </c>
      <c r="C299" s="1339" t="s">
        <v>1206</v>
      </c>
      <c r="D299" s="1346" t="s">
        <v>746</v>
      </c>
      <c r="E299" s="1350">
        <v>44411</v>
      </c>
      <c r="F299" s="1349" t="s">
        <v>1465</v>
      </c>
      <c r="G299" s="1348">
        <v>0</v>
      </c>
      <c r="H299" s="1406" t="s">
        <v>1742</v>
      </c>
    </row>
    <row r="300" spans="1:8" ht="15" customHeight="1" x14ac:dyDescent="0.2">
      <c r="A300" s="1344">
        <v>263</v>
      </c>
      <c r="B300" s="1345" t="s">
        <v>410</v>
      </c>
      <c r="C300" s="1339" t="s">
        <v>1206</v>
      </c>
      <c r="D300" s="990" t="s">
        <v>1753</v>
      </c>
      <c r="E300" s="1350">
        <v>44411</v>
      </c>
      <c r="F300" s="1349" t="s">
        <v>1466</v>
      </c>
      <c r="G300" s="1348">
        <v>0</v>
      </c>
      <c r="H300" s="1406" t="s">
        <v>1742</v>
      </c>
    </row>
    <row r="301" spans="1:8" ht="15" customHeight="1" x14ac:dyDescent="0.2">
      <c r="A301" s="1344">
        <v>264</v>
      </c>
      <c r="B301" s="1345" t="s">
        <v>410</v>
      </c>
      <c r="C301" s="1339" t="s">
        <v>1206</v>
      </c>
      <c r="D301" s="1346" t="s">
        <v>1863</v>
      </c>
      <c r="E301" s="1350">
        <v>44439</v>
      </c>
      <c r="F301" s="1349" t="s">
        <v>1467</v>
      </c>
      <c r="G301" s="1348">
        <v>0</v>
      </c>
      <c r="H301" s="1406" t="s">
        <v>1860</v>
      </c>
    </row>
    <row r="302" spans="1:8" ht="15" customHeight="1" x14ac:dyDescent="0.2">
      <c r="A302" s="1344">
        <v>265</v>
      </c>
      <c r="B302" s="1345" t="s">
        <v>410</v>
      </c>
      <c r="C302" s="1339" t="s">
        <v>1206</v>
      </c>
      <c r="D302" s="1346" t="s">
        <v>1915</v>
      </c>
      <c r="E302" s="1350">
        <v>44411</v>
      </c>
      <c r="F302" s="1349" t="s">
        <v>1468</v>
      </c>
      <c r="G302" s="1348">
        <v>0</v>
      </c>
      <c r="H302" s="1406" t="s">
        <v>1916</v>
      </c>
    </row>
    <row r="303" spans="1:8" ht="15" customHeight="1" x14ac:dyDescent="0.2">
      <c r="A303" s="1344">
        <v>266</v>
      </c>
      <c r="B303" s="1345" t="s">
        <v>410</v>
      </c>
      <c r="C303" s="1339" t="s">
        <v>1206</v>
      </c>
      <c r="D303" s="1346" t="s">
        <v>768</v>
      </c>
      <c r="E303" s="1350">
        <v>44425</v>
      </c>
      <c r="F303" s="1349" t="s">
        <v>1469</v>
      </c>
      <c r="G303" s="1348">
        <v>30443</v>
      </c>
      <c r="H303" s="1406" t="s">
        <v>1860</v>
      </c>
    </row>
    <row r="304" spans="1:8" ht="15" customHeight="1" x14ac:dyDescent="0.2">
      <c r="A304" s="1344">
        <v>267</v>
      </c>
      <c r="B304" s="1345" t="s">
        <v>410</v>
      </c>
      <c r="C304" s="1339" t="s">
        <v>1206</v>
      </c>
      <c r="D304" s="1346" t="s">
        <v>1917</v>
      </c>
      <c r="E304" s="1350">
        <v>44425</v>
      </c>
      <c r="F304" s="1349" t="s">
        <v>1470</v>
      </c>
      <c r="G304" s="1348">
        <v>0</v>
      </c>
      <c r="H304" s="1406" t="s">
        <v>1860</v>
      </c>
    </row>
    <row r="305" spans="1:8" ht="15" customHeight="1" x14ac:dyDescent="0.2">
      <c r="A305" s="1344">
        <v>268</v>
      </c>
      <c r="B305" s="1345" t="s">
        <v>410</v>
      </c>
      <c r="C305" s="1339" t="s">
        <v>1206</v>
      </c>
      <c r="D305" s="990" t="s">
        <v>1918</v>
      </c>
      <c r="E305" s="1350">
        <v>44425</v>
      </c>
      <c r="F305" s="1349" t="s">
        <v>1471</v>
      </c>
      <c r="G305" s="1348">
        <v>0</v>
      </c>
      <c r="H305" s="1406" t="s">
        <v>1211</v>
      </c>
    </row>
    <row r="306" spans="1:8" ht="15" customHeight="1" x14ac:dyDescent="0.2">
      <c r="A306" s="1344">
        <v>269</v>
      </c>
      <c r="B306" s="1345" t="s">
        <v>410</v>
      </c>
      <c r="C306" s="1339" t="s">
        <v>1206</v>
      </c>
      <c r="D306" s="1346" t="s">
        <v>1919</v>
      </c>
      <c r="E306" s="1350">
        <v>44425</v>
      </c>
      <c r="F306" s="1349" t="s">
        <v>1472</v>
      </c>
      <c r="G306" s="1348">
        <v>0</v>
      </c>
      <c r="H306" s="1406" t="s">
        <v>1860</v>
      </c>
    </row>
    <row r="307" spans="1:8" ht="15" customHeight="1" x14ac:dyDescent="0.2">
      <c r="A307" s="1344">
        <v>270</v>
      </c>
      <c r="B307" s="1345" t="s">
        <v>410</v>
      </c>
      <c r="C307" s="1339" t="s">
        <v>1206</v>
      </c>
      <c r="D307" s="1346" t="s">
        <v>640</v>
      </c>
      <c r="E307" s="1350">
        <v>44425</v>
      </c>
      <c r="F307" s="1349" t="s">
        <v>1473</v>
      </c>
      <c r="G307" s="1348">
        <v>0</v>
      </c>
      <c r="H307" s="1406" t="s">
        <v>1750</v>
      </c>
    </row>
    <row r="308" spans="1:8" ht="15" customHeight="1" x14ac:dyDescent="0.2">
      <c r="A308" s="1344">
        <v>271</v>
      </c>
      <c r="B308" s="1345" t="s">
        <v>410</v>
      </c>
      <c r="C308" s="1339" t="s">
        <v>1206</v>
      </c>
      <c r="D308" s="1346" t="s">
        <v>1920</v>
      </c>
      <c r="E308" s="1350">
        <v>44439</v>
      </c>
      <c r="F308" s="1349" t="s">
        <v>1474</v>
      </c>
      <c r="G308" s="1348">
        <v>0</v>
      </c>
      <c r="H308" s="1406" t="s">
        <v>1750</v>
      </c>
    </row>
    <row r="309" spans="1:8" ht="15" customHeight="1" x14ac:dyDescent="0.2">
      <c r="A309" s="1344">
        <v>272</v>
      </c>
      <c r="B309" s="1345" t="s">
        <v>410</v>
      </c>
      <c r="C309" s="1339" t="s">
        <v>1206</v>
      </c>
      <c r="D309" s="990" t="s">
        <v>411</v>
      </c>
      <c r="E309" s="1350">
        <v>44425</v>
      </c>
      <c r="F309" s="1349" t="s">
        <v>1475</v>
      </c>
      <c r="G309" s="1348">
        <v>138.85</v>
      </c>
      <c r="H309" s="1406" t="s">
        <v>1745</v>
      </c>
    </row>
    <row r="310" spans="1:8" ht="15" customHeight="1" x14ac:dyDescent="0.2">
      <c r="A310" s="1344">
        <v>273</v>
      </c>
      <c r="B310" s="1345" t="s">
        <v>410</v>
      </c>
      <c r="C310" s="1339" t="s">
        <v>1206</v>
      </c>
      <c r="D310" s="1346" t="s">
        <v>1823</v>
      </c>
      <c r="E310" s="1350">
        <v>44425</v>
      </c>
      <c r="F310" s="1349" t="s">
        <v>1476</v>
      </c>
      <c r="G310" s="1348">
        <v>14041</v>
      </c>
      <c r="H310" s="1406" t="s">
        <v>1211</v>
      </c>
    </row>
    <row r="311" spans="1:8" ht="15" customHeight="1" x14ac:dyDescent="0.2">
      <c r="A311" s="1344">
        <v>274</v>
      </c>
      <c r="B311" s="1345" t="s">
        <v>410</v>
      </c>
      <c r="C311" s="1339" t="s">
        <v>1206</v>
      </c>
      <c r="D311" s="990" t="s">
        <v>1904</v>
      </c>
      <c r="E311" s="1350">
        <v>44425</v>
      </c>
      <c r="F311" s="1349" t="s">
        <v>1477</v>
      </c>
      <c r="G311" s="1348">
        <v>0</v>
      </c>
      <c r="H311" s="1406" t="s">
        <v>1224</v>
      </c>
    </row>
    <row r="312" spans="1:8" ht="15" customHeight="1" x14ac:dyDescent="0.2">
      <c r="A312" s="1337">
        <v>275</v>
      </c>
      <c r="B312" s="1338" t="s">
        <v>410</v>
      </c>
      <c r="C312" s="1339" t="s">
        <v>1206</v>
      </c>
      <c r="D312" s="1375" t="s">
        <v>1921</v>
      </c>
      <c r="E312" s="1340">
        <v>44460</v>
      </c>
      <c r="F312" s="1352" t="s">
        <v>1478</v>
      </c>
      <c r="G312" s="1353">
        <v>0</v>
      </c>
      <c r="H312" s="1407" t="s">
        <v>1224</v>
      </c>
    </row>
    <row r="313" spans="1:8" ht="15" customHeight="1" x14ac:dyDescent="0.2">
      <c r="A313" s="1344">
        <v>276</v>
      </c>
      <c r="B313" s="1345" t="s">
        <v>410</v>
      </c>
      <c r="C313" s="1339" t="s">
        <v>1206</v>
      </c>
      <c r="D313" s="1346" t="s">
        <v>1808</v>
      </c>
      <c r="E313" s="1350">
        <v>44439</v>
      </c>
      <c r="F313" s="1349" t="s">
        <v>1479</v>
      </c>
      <c r="G313" s="1348">
        <v>0</v>
      </c>
      <c r="H313" s="1407" t="s">
        <v>1215</v>
      </c>
    </row>
    <row r="314" spans="1:8" ht="15" customHeight="1" x14ac:dyDescent="0.2">
      <c r="A314" s="1344">
        <v>277</v>
      </c>
      <c r="B314" s="1345" t="s">
        <v>410</v>
      </c>
      <c r="C314" s="1339" t="s">
        <v>1206</v>
      </c>
      <c r="D314" s="990" t="s">
        <v>1922</v>
      </c>
      <c r="E314" s="1350">
        <v>44425</v>
      </c>
      <c r="F314" s="1349" t="s">
        <v>1480</v>
      </c>
      <c r="G314" s="1348">
        <v>0</v>
      </c>
      <c r="H314" s="1407" t="s">
        <v>1742</v>
      </c>
    </row>
    <row r="315" spans="1:8" ht="15" customHeight="1" x14ac:dyDescent="0.2">
      <c r="A315" s="1344">
        <v>278</v>
      </c>
      <c r="B315" s="1345" t="s">
        <v>410</v>
      </c>
      <c r="C315" s="1339" t="s">
        <v>1206</v>
      </c>
      <c r="D315" s="1304" t="s">
        <v>1922</v>
      </c>
      <c r="E315" s="1350">
        <v>44425</v>
      </c>
      <c r="F315" s="1349" t="s">
        <v>1481</v>
      </c>
      <c r="G315" s="1348">
        <v>0</v>
      </c>
      <c r="H315" s="1407" t="s">
        <v>1742</v>
      </c>
    </row>
    <row r="316" spans="1:8" ht="15" customHeight="1" x14ac:dyDescent="0.2">
      <c r="A316" s="1344">
        <v>279</v>
      </c>
      <c r="B316" s="1345" t="s">
        <v>410</v>
      </c>
      <c r="C316" s="1339" t="s">
        <v>1206</v>
      </c>
      <c r="D316" s="1346" t="s">
        <v>1922</v>
      </c>
      <c r="E316" s="1350">
        <v>44425</v>
      </c>
      <c r="F316" s="1349" t="s">
        <v>1482</v>
      </c>
      <c r="G316" s="1348">
        <v>0</v>
      </c>
      <c r="H316" s="1406" t="s">
        <v>1742</v>
      </c>
    </row>
    <row r="317" spans="1:8" ht="15" customHeight="1" x14ac:dyDescent="0.2">
      <c r="A317" s="1344">
        <v>280</v>
      </c>
      <c r="B317" s="1345" t="s">
        <v>410</v>
      </c>
      <c r="C317" s="1339" t="s">
        <v>1206</v>
      </c>
      <c r="D317" s="990" t="s">
        <v>745</v>
      </c>
      <c r="E317" s="1350">
        <v>44446</v>
      </c>
      <c r="F317" s="1349" t="s">
        <v>1483</v>
      </c>
      <c r="G317" s="1348">
        <v>0</v>
      </c>
      <c r="H317" s="1406" t="s">
        <v>1215</v>
      </c>
    </row>
    <row r="318" spans="1:8" ht="15" customHeight="1" x14ac:dyDescent="0.2">
      <c r="A318" s="1344">
        <v>281</v>
      </c>
      <c r="B318" s="1345" t="s">
        <v>410</v>
      </c>
      <c r="C318" s="1339" t="s">
        <v>1206</v>
      </c>
      <c r="D318" s="1304" t="s">
        <v>141</v>
      </c>
      <c r="E318" s="1350">
        <v>44453</v>
      </c>
      <c r="F318" s="1349" t="s">
        <v>1484</v>
      </c>
      <c r="G318" s="1348">
        <v>13507.59</v>
      </c>
      <c r="H318" s="1406" t="s">
        <v>1211</v>
      </c>
    </row>
    <row r="319" spans="1:8" ht="15" customHeight="1" x14ac:dyDescent="0.2">
      <c r="A319" s="1344">
        <v>282</v>
      </c>
      <c r="B319" s="1345" t="s">
        <v>410</v>
      </c>
      <c r="C319" s="1339" t="s">
        <v>1206</v>
      </c>
      <c r="D319" s="1346" t="s">
        <v>1923</v>
      </c>
      <c r="E319" s="1350">
        <v>44446</v>
      </c>
      <c r="F319" s="1349" t="s">
        <v>1485</v>
      </c>
      <c r="G319" s="1348">
        <v>0</v>
      </c>
      <c r="H319" s="1406" t="s">
        <v>1745</v>
      </c>
    </row>
    <row r="320" spans="1:8" ht="15" customHeight="1" x14ac:dyDescent="0.2">
      <c r="A320" s="1344">
        <v>283</v>
      </c>
      <c r="B320" s="1345" t="s">
        <v>410</v>
      </c>
      <c r="C320" s="1339" t="s">
        <v>1206</v>
      </c>
      <c r="D320" s="1346" t="s">
        <v>1924</v>
      </c>
      <c r="E320" s="1350">
        <v>44460</v>
      </c>
      <c r="F320" s="1349" t="s">
        <v>1486</v>
      </c>
      <c r="G320" s="1348">
        <v>0</v>
      </c>
      <c r="H320" s="1406" t="s">
        <v>1745</v>
      </c>
    </row>
    <row r="321" spans="1:8" ht="15" customHeight="1" x14ac:dyDescent="0.2">
      <c r="A321" s="1344">
        <v>284</v>
      </c>
      <c r="B321" s="1345" t="s">
        <v>410</v>
      </c>
      <c r="C321" s="1339" t="s">
        <v>1206</v>
      </c>
      <c r="D321" s="990" t="s">
        <v>1925</v>
      </c>
      <c r="E321" s="1350">
        <v>44460</v>
      </c>
      <c r="F321" s="1349" t="s">
        <v>1487</v>
      </c>
      <c r="G321" s="1348">
        <v>28</v>
      </c>
      <c r="H321" s="1406" t="s">
        <v>1745</v>
      </c>
    </row>
    <row r="322" spans="1:8" ht="15" customHeight="1" x14ac:dyDescent="0.2">
      <c r="A322" s="1344">
        <v>285</v>
      </c>
      <c r="B322" s="1345" t="s">
        <v>410</v>
      </c>
      <c r="C322" s="1339" t="s">
        <v>1206</v>
      </c>
      <c r="D322" s="990" t="s">
        <v>1926</v>
      </c>
      <c r="E322" s="1350">
        <v>44446</v>
      </c>
      <c r="F322" s="1349" t="s">
        <v>1488</v>
      </c>
      <c r="G322" s="1348">
        <v>0</v>
      </c>
      <c r="H322" s="1406" t="s">
        <v>1750</v>
      </c>
    </row>
    <row r="323" spans="1:8" ht="22.5" customHeight="1" x14ac:dyDescent="0.2">
      <c r="A323" s="1337">
        <v>286</v>
      </c>
      <c r="B323" s="1338" t="s">
        <v>410</v>
      </c>
      <c r="C323" s="1339" t="s">
        <v>1206</v>
      </c>
      <c r="D323" s="1351" t="s">
        <v>1927</v>
      </c>
      <c r="E323" s="1340">
        <v>44460</v>
      </c>
      <c r="F323" s="1352" t="s">
        <v>1489</v>
      </c>
      <c r="G323" s="1353">
        <v>0</v>
      </c>
      <c r="H323" s="1407" t="s">
        <v>1739</v>
      </c>
    </row>
    <row r="324" spans="1:8" ht="15" customHeight="1" thickBot="1" x14ac:dyDescent="0.25">
      <c r="A324" s="1355">
        <v>287</v>
      </c>
      <c r="B324" s="1356" t="s">
        <v>410</v>
      </c>
      <c r="C324" s="1371" t="s">
        <v>1206</v>
      </c>
      <c r="D324" s="1372" t="s">
        <v>1928</v>
      </c>
      <c r="E324" s="1358">
        <v>44460</v>
      </c>
      <c r="F324" s="1359" t="s">
        <v>1490</v>
      </c>
      <c r="G324" s="1360">
        <v>0</v>
      </c>
      <c r="H324" s="1412" t="s">
        <v>1742</v>
      </c>
    </row>
    <row r="325" spans="1:8" s="1343" customFormat="1" ht="15" customHeight="1" x14ac:dyDescent="0.2">
      <c r="A325" s="961"/>
      <c r="B325" s="961"/>
      <c r="C325" s="961"/>
      <c r="D325" s="961"/>
      <c r="E325" s="961"/>
      <c r="F325" s="961"/>
      <c r="G325" s="961"/>
      <c r="H325" s="1333" t="s">
        <v>644</v>
      </c>
    </row>
    <row r="326" spans="1:8" s="1343" customFormat="1" ht="15.75" x14ac:dyDescent="0.2">
      <c r="A326" s="961"/>
      <c r="B326" s="961"/>
      <c r="C326" s="1845" t="s">
        <v>90</v>
      </c>
      <c r="D326" s="1845"/>
      <c r="E326" s="1845"/>
      <c r="F326" s="1845"/>
      <c r="G326" s="1845"/>
      <c r="H326" s="1845"/>
    </row>
    <row r="327" spans="1:8" x14ac:dyDescent="0.2">
      <c r="C327" s="1846" t="s">
        <v>1709</v>
      </c>
      <c r="D327" s="1846"/>
      <c r="E327" s="1846"/>
      <c r="F327" s="1846"/>
      <c r="G327" s="1846"/>
      <c r="H327" s="1846"/>
    </row>
    <row r="328" spans="1:8" ht="13.5" thickBot="1" x14ac:dyDescent="0.25">
      <c r="A328" s="1376"/>
      <c r="B328" s="1376"/>
      <c r="C328" s="1376"/>
      <c r="D328" s="1376"/>
      <c r="E328" s="1376"/>
      <c r="F328" s="1376"/>
      <c r="G328" s="1376"/>
      <c r="H328" s="1377"/>
    </row>
    <row r="329" spans="1:8" ht="34.5" customHeight="1" thickBot="1" x14ac:dyDescent="0.25">
      <c r="A329" s="1847" t="s">
        <v>6</v>
      </c>
      <c r="B329" s="1848"/>
      <c r="C329" s="1849"/>
      <c r="D329" s="1335" t="s">
        <v>7</v>
      </c>
      <c r="E329" s="1335" t="s">
        <v>638</v>
      </c>
      <c r="F329" s="1335" t="s">
        <v>138</v>
      </c>
      <c r="G329" s="1335" t="s">
        <v>140</v>
      </c>
      <c r="H329" s="1367" t="s">
        <v>139</v>
      </c>
    </row>
    <row r="330" spans="1:8" ht="15" customHeight="1" x14ac:dyDescent="0.2">
      <c r="A330" s="1344">
        <v>288</v>
      </c>
      <c r="B330" s="1345" t="s">
        <v>410</v>
      </c>
      <c r="C330" s="1339" t="s">
        <v>1206</v>
      </c>
      <c r="D330" s="990" t="s">
        <v>1929</v>
      </c>
      <c r="E330" s="1350">
        <v>44460</v>
      </c>
      <c r="F330" s="1349" t="s">
        <v>1491</v>
      </c>
      <c r="G330" s="1348">
        <v>0</v>
      </c>
      <c r="H330" s="1406" t="s">
        <v>1742</v>
      </c>
    </row>
    <row r="331" spans="1:8" ht="15" customHeight="1" x14ac:dyDescent="0.2">
      <c r="A331" s="1344">
        <v>289</v>
      </c>
      <c r="B331" s="1345" t="s">
        <v>410</v>
      </c>
      <c r="C331" s="1354" t="s">
        <v>1206</v>
      </c>
      <c r="D331" s="1304" t="s">
        <v>1930</v>
      </c>
      <c r="E331" s="1350">
        <v>44446</v>
      </c>
      <c r="F331" s="1349" t="s">
        <v>1492</v>
      </c>
      <c r="G331" s="1348">
        <v>-184.12</v>
      </c>
      <c r="H331" s="1406" t="s">
        <v>1211</v>
      </c>
    </row>
    <row r="332" spans="1:8" ht="15" customHeight="1" x14ac:dyDescent="0.2">
      <c r="A332" s="1337">
        <v>290</v>
      </c>
      <c r="B332" s="1338" t="s">
        <v>410</v>
      </c>
      <c r="C332" s="1354" t="s">
        <v>1206</v>
      </c>
      <c r="D332" s="1375" t="s">
        <v>741</v>
      </c>
      <c r="E332" s="1340">
        <v>44446</v>
      </c>
      <c r="F332" s="1352" t="s">
        <v>1493</v>
      </c>
      <c r="G332" s="1353">
        <v>0</v>
      </c>
      <c r="H332" s="1407" t="s">
        <v>1211</v>
      </c>
    </row>
    <row r="333" spans="1:8" ht="15" customHeight="1" x14ac:dyDescent="0.2">
      <c r="A333" s="1344">
        <v>291</v>
      </c>
      <c r="B333" s="1345" t="s">
        <v>410</v>
      </c>
      <c r="C333" s="1354" t="s">
        <v>1206</v>
      </c>
      <c r="D333" s="1346" t="s">
        <v>1931</v>
      </c>
      <c r="E333" s="1350">
        <v>44446</v>
      </c>
      <c r="F333" s="1349" t="s">
        <v>1494</v>
      </c>
      <c r="G333" s="1348">
        <v>0</v>
      </c>
      <c r="H333" s="1406" t="s">
        <v>1860</v>
      </c>
    </row>
    <row r="334" spans="1:8" ht="15" customHeight="1" x14ac:dyDescent="0.2">
      <c r="A334" s="1344">
        <v>292</v>
      </c>
      <c r="B334" s="1345" t="s">
        <v>410</v>
      </c>
      <c r="C334" s="1354" t="s">
        <v>1206</v>
      </c>
      <c r="D334" s="990" t="s">
        <v>1931</v>
      </c>
      <c r="E334" s="1350">
        <v>44446</v>
      </c>
      <c r="F334" s="1349" t="s">
        <v>1495</v>
      </c>
      <c r="G334" s="1348">
        <v>0</v>
      </c>
      <c r="H334" s="1407" t="s">
        <v>1860</v>
      </c>
    </row>
    <row r="335" spans="1:8" ht="15" customHeight="1" x14ac:dyDescent="0.2">
      <c r="A335" s="1344">
        <v>293</v>
      </c>
      <c r="B335" s="1345" t="s">
        <v>410</v>
      </c>
      <c r="C335" s="1354" t="s">
        <v>1206</v>
      </c>
      <c r="D335" s="990" t="s">
        <v>746</v>
      </c>
      <c r="E335" s="1350">
        <v>44446</v>
      </c>
      <c r="F335" s="1349" t="s">
        <v>1496</v>
      </c>
      <c r="G335" s="1348">
        <v>0</v>
      </c>
      <c r="H335" s="1407" t="s">
        <v>1742</v>
      </c>
    </row>
    <row r="336" spans="1:8" ht="15" customHeight="1" x14ac:dyDescent="0.2">
      <c r="A336" s="1344">
        <v>294</v>
      </c>
      <c r="B336" s="1345" t="s">
        <v>410</v>
      </c>
      <c r="C336" s="1354" t="s">
        <v>1206</v>
      </c>
      <c r="D336" s="1346" t="s">
        <v>1753</v>
      </c>
      <c r="E336" s="1350">
        <v>44446</v>
      </c>
      <c r="F336" s="1349" t="s">
        <v>1497</v>
      </c>
      <c r="G336" s="1348">
        <v>0</v>
      </c>
      <c r="H336" s="1406" t="s">
        <v>1742</v>
      </c>
    </row>
    <row r="337" spans="1:8" ht="15" customHeight="1" x14ac:dyDescent="0.2">
      <c r="A337" s="1344">
        <v>295</v>
      </c>
      <c r="B337" s="1345" t="s">
        <v>410</v>
      </c>
      <c r="C337" s="1354" t="s">
        <v>1206</v>
      </c>
      <c r="D337" s="1304" t="s">
        <v>447</v>
      </c>
      <c r="E337" s="1350">
        <v>44446</v>
      </c>
      <c r="F337" s="1349" t="s">
        <v>1498</v>
      </c>
      <c r="G337" s="1348">
        <v>359</v>
      </c>
      <c r="H337" s="1406" t="s">
        <v>1224</v>
      </c>
    </row>
    <row r="338" spans="1:8" ht="15" customHeight="1" x14ac:dyDescent="0.2">
      <c r="A338" s="1344">
        <v>296</v>
      </c>
      <c r="B338" s="1345" t="s">
        <v>410</v>
      </c>
      <c r="C338" s="1354" t="s">
        <v>1206</v>
      </c>
      <c r="D338" s="1304" t="s">
        <v>740</v>
      </c>
      <c r="E338" s="1350">
        <v>44446</v>
      </c>
      <c r="F338" s="1349" t="s">
        <v>1499</v>
      </c>
      <c r="G338" s="1348">
        <v>0</v>
      </c>
      <c r="H338" s="1406" t="s">
        <v>1213</v>
      </c>
    </row>
    <row r="339" spans="1:8" ht="15" customHeight="1" x14ac:dyDescent="0.2">
      <c r="A339" s="1344">
        <v>297</v>
      </c>
      <c r="B339" s="1345" t="s">
        <v>410</v>
      </c>
      <c r="C339" s="1354" t="s">
        <v>1206</v>
      </c>
      <c r="D339" s="990" t="s">
        <v>769</v>
      </c>
      <c r="E339" s="1350">
        <v>44460</v>
      </c>
      <c r="F339" s="1349" t="s">
        <v>1500</v>
      </c>
      <c r="G339" s="1348">
        <v>0</v>
      </c>
      <c r="H339" s="1406" t="s">
        <v>1213</v>
      </c>
    </row>
    <row r="340" spans="1:8" ht="15" customHeight="1" x14ac:dyDescent="0.2">
      <c r="A340" s="1344">
        <v>298</v>
      </c>
      <c r="B340" s="1345" t="s">
        <v>410</v>
      </c>
      <c r="C340" s="1354" t="s">
        <v>1206</v>
      </c>
      <c r="D340" s="990" t="s">
        <v>740</v>
      </c>
      <c r="E340" s="1350">
        <v>44460</v>
      </c>
      <c r="F340" s="1349" t="s">
        <v>1501</v>
      </c>
      <c r="G340" s="1348">
        <v>0</v>
      </c>
      <c r="H340" s="1406" t="s">
        <v>1213</v>
      </c>
    </row>
    <row r="341" spans="1:8" ht="15" customHeight="1" x14ac:dyDescent="0.2">
      <c r="A341" s="1344">
        <v>299</v>
      </c>
      <c r="B341" s="1345" t="s">
        <v>410</v>
      </c>
      <c r="C341" s="1354" t="s">
        <v>1206</v>
      </c>
      <c r="D341" s="990" t="s">
        <v>1932</v>
      </c>
      <c r="E341" s="1350">
        <v>44460</v>
      </c>
      <c r="F341" s="1349" t="s">
        <v>1502</v>
      </c>
      <c r="G341" s="1348">
        <v>0</v>
      </c>
      <c r="H341" s="1406" t="s">
        <v>1860</v>
      </c>
    </row>
    <row r="342" spans="1:8" ht="15" customHeight="1" x14ac:dyDescent="0.2">
      <c r="A342" s="1344">
        <v>300</v>
      </c>
      <c r="B342" s="1345" t="s">
        <v>410</v>
      </c>
      <c r="C342" s="1354" t="s">
        <v>1206</v>
      </c>
      <c r="D342" s="990" t="s">
        <v>764</v>
      </c>
      <c r="E342" s="1350">
        <v>44453</v>
      </c>
      <c r="F342" s="1349" t="s">
        <v>1503</v>
      </c>
      <c r="G342" s="1348">
        <v>0</v>
      </c>
      <c r="H342" s="1406" t="s">
        <v>1742</v>
      </c>
    </row>
    <row r="343" spans="1:8" ht="15" customHeight="1" x14ac:dyDescent="0.2">
      <c r="A343" s="1344">
        <v>301</v>
      </c>
      <c r="B343" s="1345" t="s">
        <v>410</v>
      </c>
      <c r="C343" s="1354" t="s">
        <v>1206</v>
      </c>
      <c r="D343" s="1346" t="s">
        <v>1933</v>
      </c>
      <c r="E343" s="1350">
        <v>44460</v>
      </c>
      <c r="F343" s="1349" t="s">
        <v>1504</v>
      </c>
      <c r="G343" s="1348">
        <v>0</v>
      </c>
      <c r="H343" s="1407" t="s">
        <v>1742</v>
      </c>
    </row>
    <row r="344" spans="1:8" ht="15" customHeight="1" x14ac:dyDescent="0.2">
      <c r="A344" s="1344">
        <v>302</v>
      </c>
      <c r="B344" s="1345" t="s">
        <v>410</v>
      </c>
      <c r="C344" s="1354" t="s">
        <v>1206</v>
      </c>
      <c r="D344" s="1304" t="s">
        <v>645</v>
      </c>
      <c r="E344" s="1350">
        <v>44453</v>
      </c>
      <c r="F344" s="1349" t="s">
        <v>1505</v>
      </c>
      <c r="G344" s="1348">
        <v>76.77</v>
      </c>
      <c r="H344" s="1406" t="s">
        <v>1211</v>
      </c>
    </row>
    <row r="345" spans="1:8" ht="15" customHeight="1" x14ac:dyDescent="0.2">
      <c r="A345" s="1344">
        <v>303</v>
      </c>
      <c r="B345" s="1345" t="s">
        <v>410</v>
      </c>
      <c r="C345" s="1354" t="s">
        <v>1206</v>
      </c>
      <c r="D345" s="990" t="s">
        <v>1934</v>
      </c>
      <c r="E345" s="1350">
        <v>44453</v>
      </c>
      <c r="F345" s="1349" t="s">
        <v>1506</v>
      </c>
      <c r="G345" s="1348">
        <v>0</v>
      </c>
      <c r="H345" s="1406" t="s">
        <v>1224</v>
      </c>
    </row>
    <row r="346" spans="1:8" ht="15" customHeight="1" x14ac:dyDescent="0.2">
      <c r="A346" s="1344">
        <v>304</v>
      </c>
      <c r="B346" s="1345" t="s">
        <v>410</v>
      </c>
      <c r="C346" s="1354" t="s">
        <v>1206</v>
      </c>
      <c r="D346" s="1346" t="s">
        <v>1935</v>
      </c>
      <c r="E346" s="1350">
        <v>44460</v>
      </c>
      <c r="F346" s="1349" t="s">
        <v>1507</v>
      </c>
      <c r="G346" s="1348">
        <v>0</v>
      </c>
      <c r="H346" s="1406" t="s">
        <v>1224</v>
      </c>
    </row>
    <row r="347" spans="1:8" ht="15" customHeight="1" x14ac:dyDescent="0.2">
      <c r="A347" s="1337">
        <v>305</v>
      </c>
      <c r="B347" s="1338" t="s">
        <v>410</v>
      </c>
      <c r="C347" s="1354" t="s">
        <v>1206</v>
      </c>
      <c r="D347" s="1375" t="s">
        <v>1936</v>
      </c>
      <c r="E347" s="1340">
        <v>44453</v>
      </c>
      <c r="F347" s="1352" t="s">
        <v>1508</v>
      </c>
      <c r="G347" s="1353">
        <v>0</v>
      </c>
      <c r="H347" s="1407" t="s">
        <v>1742</v>
      </c>
    </row>
    <row r="348" spans="1:8" ht="15" customHeight="1" x14ac:dyDescent="0.2">
      <c r="A348" s="1344">
        <v>306</v>
      </c>
      <c r="B348" s="1345" t="s">
        <v>410</v>
      </c>
      <c r="C348" s="1354" t="s">
        <v>1206</v>
      </c>
      <c r="D348" s="1346" t="s">
        <v>141</v>
      </c>
      <c r="E348" s="1350">
        <v>44453</v>
      </c>
      <c r="F348" s="1349" t="s">
        <v>1509</v>
      </c>
      <c r="G348" s="1348">
        <v>992.12</v>
      </c>
      <c r="H348" s="1406" t="s">
        <v>1211</v>
      </c>
    </row>
    <row r="349" spans="1:8" ht="15" customHeight="1" x14ac:dyDescent="0.2">
      <c r="A349" s="1344">
        <v>307</v>
      </c>
      <c r="B349" s="1345" t="s">
        <v>410</v>
      </c>
      <c r="C349" s="1354" t="s">
        <v>1206</v>
      </c>
      <c r="D349" s="990" t="s">
        <v>411</v>
      </c>
      <c r="E349" s="1350">
        <v>44453</v>
      </c>
      <c r="F349" s="1349" t="s">
        <v>1510</v>
      </c>
      <c r="G349" s="1348">
        <v>281.27</v>
      </c>
      <c r="H349" s="1406" t="s">
        <v>1745</v>
      </c>
    </row>
    <row r="350" spans="1:8" ht="15" customHeight="1" x14ac:dyDescent="0.2">
      <c r="A350" s="1344">
        <v>308</v>
      </c>
      <c r="B350" s="1345" t="s">
        <v>410</v>
      </c>
      <c r="C350" s="1354" t="s">
        <v>1206</v>
      </c>
      <c r="D350" s="1346" t="s">
        <v>1937</v>
      </c>
      <c r="E350" s="1350">
        <v>44453</v>
      </c>
      <c r="F350" s="1349" t="s">
        <v>1511</v>
      </c>
      <c r="G350" s="1348">
        <v>0</v>
      </c>
      <c r="H350" s="1406" t="s">
        <v>1742</v>
      </c>
    </row>
    <row r="351" spans="1:8" ht="15" customHeight="1" x14ac:dyDescent="0.2">
      <c r="A351" s="1344">
        <v>309</v>
      </c>
      <c r="B351" s="1345" t="s">
        <v>410</v>
      </c>
      <c r="C351" s="1354" t="s">
        <v>1206</v>
      </c>
      <c r="D351" s="1346" t="s">
        <v>1830</v>
      </c>
      <c r="E351" s="1350">
        <v>44453</v>
      </c>
      <c r="F351" s="1349" t="s">
        <v>1512</v>
      </c>
      <c r="G351" s="1348">
        <v>0</v>
      </c>
      <c r="H351" s="1407" t="s">
        <v>1211</v>
      </c>
    </row>
    <row r="352" spans="1:8" ht="15" customHeight="1" x14ac:dyDescent="0.2">
      <c r="A352" s="1344">
        <v>310</v>
      </c>
      <c r="B352" s="1345" t="s">
        <v>410</v>
      </c>
      <c r="C352" s="1354" t="s">
        <v>1206</v>
      </c>
      <c r="D352" s="1304" t="s">
        <v>1938</v>
      </c>
      <c r="E352" s="1350">
        <v>44453</v>
      </c>
      <c r="F352" s="1349" t="s">
        <v>1513</v>
      </c>
      <c r="G352" s="1348">
        <v>1000</v>
      </c>
      <c r="H352" s="1406" t="s">
        <v>1258</v>
      </c>
    </row>
    <row r="353" spans="1:8" ht="15" customHeight="1" x14ac:dyDescent="0.2">
      <c r="A353" s="1344">
        <v>311</v>
      </c>
      <c r="B353" s="1345" t="s">
        <v>410</v>
      </c>
      <c r="C353" s="1354" t="s">
        <v>1206</v>
      </c>
      <c r="D353" s="990" t="s">
        <v>377</v>
      </c>
      <c r="E353" s="1350">
        <v>44453</v>
      </c>
      <c r="F353" s="1349" t="s">
        <v>1514</v>
      </c>
      <c r="G353" s="1348">
        <v>296</v>
      </c>
      <c r="H353" s="1406" t="s">
        <v>1739</v>
      </c>
    </row>
    <row r="354" spans="1:8" ht="15" customHeight="1" x14ac:dyDescent="0.2">
      <c r="A354" s="1344">
        <v>312</v>
      </c>
      <c r="B354" s="1345" t="s">
        <v>410</v>
      </c>
      <c r="C354" s="1354" t="s">
        <v>1206</v>
      </c>
      <c r="D354" s="1304" t="s">
        <v>1830</v>
      </c>
      <c r="E354" s="1350">
        <v>44495</v>
      </c>
      <c r="F354" s="1349" t="s">
        <v>1515</v>
      </c>
      <c r="G354" s="1348">
        <v>0</v>
      </c>
      <c r="H354" s="1406" t="s">
        <v>1211</v>
      </c>
    </row>
    <row r="355" spans="1:8" ht="15" customHeight="1" x14ac:dyDescent="0.2">
      <c r="A355" s="1344">
        <v>313</v>
      </c>
      <c r="B355" s="1345" t="s">
        <v>410</v>
      </c>
      <c r="C355" s="1354" t="s">
        <v>1206</v>
      </c>
      <c r="D355" s="1346" t="s">
        <v>1939</v>
      </c>
      <c r="E355" s="1350">
        <v>44495</v>
      </c>
      <c r="F355" s="1349" t="s">
        <v>1516</v>
      </c>
      <c r="G355" s="1348">
        <v>0</v>
      </c>
      <c r="H355" s="1406" t="s">
        <v>1745</v>
      </c>
    </row>
    <row r="356" spans="1:8" ht="15" customHeight="1" x14ac:dyDescent="0.2">
      <c r="A356" s="1344">
        <v>314</v>
      </c>
      <c r="B356" s="1345" t="s">
        <v>410</v>
      </c>
      <c r="C356" s="1354" t="s">
        <v>1206</v>
      </c>
      <c r="D356" s="1304" t="s">
        <v>1923</v>
      </c>
      <c r="E356" s="1350">
        <v>44495</v>
      </c>
      <c r="F356" s="1349" t="s">
        <v>1517</v>
      </c>
      <c r="G356" s="1348">
        <v>0</v>
      </c>
      <c r="H356" s="1406" t="s">
        <v>1745</v>
      </c>
    </row>
    <row r="357" spans="1:8" ht="15" customHeight="1" x14ac:dyDescent="0.2">
      <c r="A357" s="1337">
        <v>315</v>
      </c>
      <c r="B357" s="1338" t="s">
        <v>410</v>
      </c>
      <c r="C357" s="1354" t="s">
        <v>1206</v>
      </c>
      <c r="D357" s="1307" t="s">
        <v>1938</v>
      </c>
      <c r="E357" s="1340">
        <v>44474</v>
      </c>
      <c r="F357" s="1352" t="s">
        <v>1518</v>
      </c>
      <c r="G357" s="1353">
        <v>15</v>
      </c>
      <c r="H357" s="1410" t="s">
        <v>1258</v>
      </c>
    </row>
    <row r="358" spans="1:8" ht="15" customHeight="1" x14ac:dyDescent="0.2">
      <c r="A358" s="1337">
        <v>316</v>
      </c>
      <c r="B358" s="1338" t="s">
        <v>410</v>
      </c>
      <c r="C358" s="1354" t="s">
        <v>1206</v>
      </c>
      <c r="D358" s="1351" t="s">
        <v>705</v>
      </c>
      <c r="E358" s="1340">
        <v>44495</v>
      </c>
      <c r="F358" s="1352" t="s">
        <v>1519</v>
      </c>
      <c r="G358" s="1353">
        <v>0</v>
      </c>
      <c r="H358" s="1406" t="s">
        <v>1739</v>
      </c>
    </row>
    <row r="359" spans="1:8" ht="15" customHeight="1" x14ac:dyDescent="0.2">
      <c r="A359" s="1344">
        <v>317</v>
      </c>
      <c r="B359" s="1345" t="s">
        <v>410</v>
      </c>
      <c r="C359" s="1354" t="s">
        <v>1206</v>
      </c>
      <c r="D359" s="1346" t="s">
        <v>741</v>
      </c>
      <c r="E359" s="1350">
        <v>44474</v>
      </c>
      <c r="F359" s="1349" t="s">
        <v>1520</v>
      </c>
      <c r="G359" s="1348">
        <v>0</v>
      </c>
      <c r="H359" s="1406" t="s">
        <v>1211</v>
      </c>
    </row>
    <row r="360" spans="1:8" ht="15" customHeight="1" x14ac:dyDescent="0.2">
      <c r="A360" s="1344">
        <v>318</v>
      </c>
      <c r="B360" s="1345" t="s">
        <v>410</v>
      </c>
      <c r="C360" s="1354" t="s">
        <v>1206</v>
      </c>
      <c r="D360" s="1346" t="s">
        <v>1940</v>
      </c>
      <c r="E360" s="1350">
        <v>44474</v>
      </c>
      <c r="F360" s="1349" t="s">
        <v>1521</v>
      </c>
      <c r="G360" s="1348">
        <v>0</v>
      </c>
      <c r="H360" s="1406" t="s">
        <v>1211</v>
      </c>
    </row>
    <row r="361" spans="1:8" ht="15" customHeight="1" x14ac:dyDescent="0.2">
      <c r="A361" s="1344">
        <v>319</v>
      </c>
      <c r="B361" s="1345" t="s">
        <v>410</v>
      </c>
      <c r="C361" s="1354" t="s">
        <v>1206</v>
      </c>
      <c r="D361" s="990" t="s">
        <v>376</v>
      </c>
      <c r="E361" s="1350">
        <v>44495</v>
      </c>
      <c r="F361" s="1349" t="s">
        <v>1522</v>
      </c>
      <c r="G361" s="1348">
        <v>30643.69</v>
      </c>
      <c r="H361" s="1409" t="s">
        <v>1213</v>
      </c>
    </row>
    <row r="362" spans="1:8" ht="15" customHeight="1" x14ac:dyDescent="0.2">
      <c r="A362" s="1344">
        <v>320</v>
      </c>
      <c r="B362" s="1345" t="s">
        <v>410</v>
      </c>
      <c r="C362" s="1354" t="s">
        <v>1206</v>
      </c>
      <c r="D362" s="1346" t="s">
        <v>1809</v>
      </c>
      <c r="E362" s="1350">
        <v>44474</v>
      </c>
      <c r="F362" s="1349" t="s">
        <v>1523</v>
      </c>
      <c r="G362" s="1348">
        <v>3400</v>
      </c>
      <c r="H362" s="1406" t="s">
        <v>1742</v>
      </c>
    </row>
    <row r="363" spans="1:8" ht="15" customHeight="1" x14ac:dyDescent="0.2">
      <c r="A363" s="1344">
        <v>321</v>
      </c>
      <c r="B363" s="1345" t="s">
        <v>410</v>
      </c>
      <c r="C363" s="1354" t="s">
        <v>1206</v>
      </c>
      <c r="D363" s="1304" t="s">
        <v>141</v>
      </c>
      <c r="E363" s="1350">
        <v>44474</v>
      </c>
      <c r="F363" s="1349" t="s">
        <v>1524</v>
      </c>
      <c r="G363" s="1348">
        <v>822.51</v>
      </c>
      <c r="H363" s="1406" t="s">
        <v>1211</v>
      </c>
    </row>
    <row r="364" spans="1:8" ht="15" customHeight="1" x14ac:dyDescent="0.2">
      <c r="A364" s="1344">
        <v>322</v>
      </c>
      <c r="B364" s="1345" t="s">
        <v>410</v>
      </c>
      <c r="C364" s="1354" t="s">
        <v>1206</v>
      </c>
      <c r="D364" s="1346" t="s">
        <v>449</v>
      </c>
      <c r="E364" s="1350">
        <v>44474</v>
      </c>
      <c r="F364" s="1349" t="s">
        <v>1525</v>
      </c>
      <c r="G364" s="1348">
        <v>2699.3</v>
      </c>
      <c r="H364" s="1406" t="s">
        <v>1211</v>
      </c>
    </row>
    <row r="365" spans="1:8" ht="15" customHeight="1" x14ac:dyDescent="0.2">
      <c r="A365" s="1344">
        <v>323</v>
      </c>
      <c r="B365" s="1345" t="s">
        <v>410</v>
      </c>
      <c r="C365" s="1354" t="s">
        <v>1206</v>
      </c>
      <c r="D365" s="1346" t="s">
        <v>447</v>
      </c>
      <c r="E365" s="1350">
        <v>44474</v>
      </c>
      <c r="F365" s="1349" t="s">
        <v>1526</v>
      </c>
      <c r="G365" s="1348">
        <v>1126.92</v>
      </c>
      <c r="H365" s="1406" t="s">
        <v>1224</v>
      </c>
    </row>
    <row r="366" spans="1:8" ht="15" customHeight="1" x14ac:dyDescent="0.2">
      <c r="A366" s="1344">
        <v>324</v>
      </c>
      <c r="B366" s="1345" t="s">
        <v>410</v>
      </c>
      <c r="C366" s="1354" t="s">
        <v>1206</v>
      </c>
      <c r="D366" s="1346" t="s">
        <v>1941</v>
      </c>
      <c r="E366" s="1350">
        <v>44474</v>
      </c>
      <c r="F366" s="1349" t="s">
        <v>1527</v>
      </c>
      <c r="G366" s="1348">
        <v>1055</v>
      </c>
      <c r="H366" s="1406" t="s">
        <v>1750</v>
      </c>
    </row>
    <row r="367" spans="1:8" ht="15" customHeight="1" x14ac:dyDescent="0.2">
      <c r="A367" s="1344">
        <v>325</v>
      </c>
      <c r="B367" s="1345" t="s">
        <v>410</v>
      </c>
      <c r="C367" s="1354" t="s">
        <v>1206</v>
      </c>
      <c r="D367" s="990" t="s">
        <v>745</v>
      </c>
      <c r="E367" s="1350">
        <v>44474</v>
      </c>
      <c r="F367" s="1349" t="s">
        <v>1528</v>
      </c>
      <c r="G367" s="1348">
        <v>0</v>
      </c>
      <c r="H367" s="1406" t="s">
        <v>1215</v>
      </c>
    </row>
    <row r="368" spans="1:8" ht="15" customHeight="1" x14ac:dyDescent="0.2">
      <c r="A368" s="1337">
        <v>326</v>
      </c>
      <c r="B368" s="1338" t="s">
        <v>410</v>
      </c>
      <c r="C368" s="1354" t="s">
        <v>1206</v>
      </c>
      <c r="D368" s="1375" t="s">
        <v>1830</v>
      </c>
      <c r="E368" s="1340">
        <v>44474</v>
      </c>
      <c r="F368" s="1352" t="s">
        <v>1529</v>
      </c>
      <c r="G368" s="1353">
        <v>0</v>
      </c>
      <c r="H368" s="1407" t="s">
        <v>1211</v>
      </c>
    </row>
    <row r="369" spans="1:8" ht="15" customHeight="1" x14ac:dyDescent="0.2">
      <c r="A369" s="1344">
        <v>327</v>
      </c>
      <c r="B369" s="1345" t="s">
        <v>410</v>
      </c>
      <c r="C369" s="1354" t="s">
        <v>1206</v>
      </c>
      <c r="D369" s="1346" t="s">
        <v>1942</v>
      </c>
      <c r="E369" s="1350">
        <v>44495</v>
      </c>
      <c r="F369" s="1349" t="s">
        <v>1530</v>
      </c>
      <c r="G369" s="1348">
        <v>3000</v>
      </c>
      <c r="H369" s="1406" t="s">
        <v>1916</v>
      </c>
    </row>
    <row r="370" spans="1:8" ht="15" customHeight="1" x14ac:dyDescent="0.2">
      <c r="A370" s="1337">
        <v>328</v>
      </c>
      <c r="B370" s="1338" t="s">
        <v>410</v>
      </c>
      <c r="C370" s="1339" t="s">
        <v>1206</v>
      </c>
      <c r="D370" s="1375" t="s">
        <v>1943</v>
      </c>
      <c r="E370" s="1340">
        <v>44495</v>
      </c>
      <c r="F370" s="1352" t="s">
        <v>1531</v>
      </c>
      <c r="G370" s="1353">
        <v>10877.51</v>
      </c>
      <c r="H370" s="1407" t="s">
        <v>1916</v>
      </c>
    </row>
    <row r="371" spans="1:8" ht="15" customHeight="1" x14ac:dyDescent="0.2">
      <c r="A371" s="1344">
        <v>329</v>
      </c>
      <c r="B371" s="1345" t="s">
        <v>410</v>
      </c>
      <c r="C371" s="1339" t="s">
        <v>1206</v>
      </c>
      <c r="D371" s="1346" t="s">
        <v>1944</v>
      </c>
      <c r="E371" s="1350">
        <v>44460</v>
      </c>
      <c r="F371" s="1349" t="s">
        <v>1532</v>
      </c>
      <c r="G371" s="1348">
        <v>2158</v>
      </c>
      <c r="H371" s="1406" t="s">
        <v>1213</v>
      </c>
    </row>
    <row r="372" spans="1:8" ht="15" customHeight="1" x14ac:dyDescent="0.2">
      <c r="A372" s="1378">
        <v>330</v>
      </c>
      <c r="B372" s="1379" t="s">
        <v>410</v>
      </c>
      <c r="C372" s="1339" t="s">
        <v>1206</v>
      </c>
      <c r="D372" s="1304" t="s">
        <v>376</v>
      </c>
      <c r="E372" s="1380">
        <v>44474</v>
      </c>
      <c r="F372" s="1380" t="s">
        <v>1533</v>
      </c>
      <c r="G372" s="989">
        <v>276.7</v>
      </c>
      <c r="H372" s="1406" t="s">
        <v>1213</v>
      </c>
    </row>
    <row r="373" spans="1:8" ht="15" customHeight="1" x14ac:dyDescent="0.2">
      <c r="A373" s="1344">
        <v>331</v>
      </c>
      <c r="B373" s="1345" t="s">
        <v>410</v>
      </c>
      <c r="C373" s="1339" t="s">
        <v>1206</v>
      </c>
      <c r="D373" s="1304" t="s">
        <v>1945</v>
      </c>
      <c r="E373" s="1350">
        <v>44495</v>
      </c>
      <c r="F373" s="1349" t="s">
        <v>1534</v>
      </c>
      <c r="G373" s="1348">
        <v>500</v>
      </c>
      <c r="H373" s="1406" t="s">
        <v>1860</v>
      </c>
    </row>
    <row r="374" spans="1:8" ht="15" customHeight="1" x14ac:dyDescent="0.2">
      <c r="A374" s="1337">
        <v>332</v>
      </c>
      <c r="B374" s="1338" t="s">
        <v>410</v>
      </c>
      <c r="C374" s="1339" t="s">
        <v>1206</v>
      </c>
      <c r="D374" s="1307" t="s">
        <v>1946</v>
      </c>
      <c r="E374" s="1340">
        <v>44495</v>
      </c>
      <c r="F374" s="1352" t="s">
        <v>1535</v>
      </c>
      <c r="G374" s="1353">
        <v>1845.65</v>
      </c>
      <c r="H374" s="1407" t="s">
        <v>1860</v>
      </c>
    </row>
    <row r="375" spans="1:8" ht="15" customHeight="1" x14ac:dyDescent="0.2">
      <c r="A375" s="1344">
        <v>333</v>
      </c>
      <c r="B375" s="1345" t="s">
        <v>410</v>
      </c>
      <c r="C375" s="1339" t="s">
        <v>1206</v>
      </c>
      <c r="D375" s="1346" t="s">
        <v>1947</v>
      </c>
      <c r="E375" s="1350">
        <v>44495</v>
      </c>
      <c r="F375" s="1349" t="s">
        <v>1536</v>
      </c>
      <c r="G375" s="1348">
        <v>0</v>
      </c>
      <c r="H375" s="1406" t="s">
        <v>1860</v>
      </c>
    </row>
    <row r="376" spans="1:8" ht="15" customHeight="1" x14ac:dyDescent="0.2">
      <c r="A376" s="1344">
        <v>334</v>
      </c>
      <c r="B376" s="1345" t="s">
        <v>410</v>
      </c>
      <c r="C376" s="1339" t="s">
        <v>1206</v>
      </c>
      <c r="D376" s="1304" t="s">
        <v>1948</v>
      </c>
      <c r="E376" s="1350">
        <v>44474</v>
      </c>
      <c r="F376" s="1349" t="s">
        <v>1537</v>
      </c>
      <c r="G376" s="1348">
        <v>0</v>
      </c>
      <c r="H376" s="1409" t="s">
        <v>1860</v>
      </c>
    </row>
    <row r="377" spans="1:8" ht="15" customHeight="1" x14ac:dyDescent="0.2">
      <c r="A377" s="1337">
        <v>335</v>
      </c>
      <c r="B377" s="1338" t="s">
        <v>410</v>
      </c>
      <c r="C377" s="1339" t="s">
        <v>1206</v>
      </c>
      <c r="D377" s="1351" t="s">
        <v>746</v>
      </c>
      <c r="E377" s="1340">
        <v>44474</v>
      </c>
      <c r="F377" s="1352" t="s">
        <v>1538</v>
      </c>
      <c r="G377" s="1353">
        <v>0</v>
      </c>
      <c r="H377" s="1406" t="s">
        <v>1742</v>
      </c>
    </row>
    <row r="378" spans="1:8" ht="15" customHeight="1" x14ac:dyDescent="0.2">
      <c r="A378" s="1344">
        <v>336</v>
      </c>
      <c r="B378" s="1345" t="s">
        <v>410</v>
      </c>
      <c r="C378" s="1339" t="s">
        <v>1206</v>
      </c>
      <c r="D378" s="1304" t="s">
        <v>1753</v>
      </c>
      <c r="E378" s="1350">
        <v>44474</v>
      </c>
      <c r="F378" s="1349" t="s">
        <v>1539</v>
      </c>
      <c r="G378" s="1348">
        <v>0</v>
      </c>
      <c r="H378" s="1406" t="s">
        <v>1742</v>
      </c>
    </row>
    <row r="379" spans="1:8" ht="15" customHeight="1" thickBot="1" x14ac:dyDescent="0.25">
      <c r="A379" s="1355">
        <v>337</v>
      </c>
      <c r="B379" s="1356" t="s">
        <v>410</v>
      </c>
      <c r="C379" s="1371" t="s">
        <v>1206</v>
      </c>
      <c r="D379" s="1372" t="s">
        <v>1949</v>
      </c>
      <c r="E379" s="1358">
        <v>44495</v>
      </c>
      <c r="F379" s="1359" t="s">
        <v>1540</v>
      </c>
      <c r="G379" s="1360">
        <v>6.79</v>
      </c>
      <c r="H379" s="1408" t="s">
        <v>1224</v>
      </c>
    </row>
    <row r="380" spans="1:8" ht="15" customHeight="1" x14ac:dyDescent="0.2">
      <c r="A380" s="1381"/>
      <c r="B380" s="1381"/>
      <c r="C380" s="1381"/>
      <c r="D380" s="1381"/>
      <c r="E380" s="1381"/>
      <c r="F380" s="1381"/>
      <c r="G380" s="1381"/>
      <c r="H380" s="1382"/>
    </row>
    <row r="381" spans="1:8" s="1343" customFormat="1" ht="15" customHeight="1" x14ac:dyDescent="0.2">
      <c r="A381" s="961"/>
      <c r="B381" s="961"/>
      <c r="C381" s="961"/>
      <c r="D381" s="961"/>
      <c r="E381" s="961"/>
      <c r="F381" s="961"/>
      <c r="G381" s="961"/>
      <c r="H381" s="1333" t="s">
        <v>646</v>
      </c>
    </row>
    <row r="382" spans="1:8" s="1343" customFormat="1" ht="15" customHeight="1" x14ac:dyDescent="0.2">
      <c r="A382" s="961"/>
      <c r="B382" s="961"/>
      <c r="C382" s="1845" t="s">
        <v>90</v>
      </c>
      <c r="D382" s="1845"/>
      <c r="E382" s="1845"/>
      <c r="F382" s="1845"/>
      <c r="G382" s="1845"/>
      <c r="H382" s="1845"/>
    </row>
    <row r="383" spans="1:8" s="1343" customFormat="1" ht="15" customHeight="1" x14ac:dyDescent="0.2">
      <c r="A383" s="961"/>
      <c r="B383" s="961"/>
      <c r="C383" s="1846" t="s">
        <v>1709</v>
      </c>
      <c r="D383" s="1846"/>
      <c r="E383" s="1846"/>
      <c r="F383" s="1846"/>
      <c r="G383" s="1846"/>
      <c r="H383" s="1846"/>
    </row>
    <row r="384" spans="1:8" s="1343" customFormat="1" ht="15" customHeight="1" thickBot="1" x14ac:dyDescent="0.25">
      <c r="A384" s="1376"/>
      <c r="B384" s="1376"/>
      <c r="C384" s="1376"/>
      <c r="D384" s="1376"/>
      <c r="E384" s="1376"/>
      <c r="F384" s="1376"/>
      <c r="G384" s="1376"/>
      <c r="H384" s="1377"/>
    </row>
    <row r="385" spans="1:8" s="1343" customFormat="1" ht="34.5" customHeight="1" thickBot="1" x14ac:dyDescent="0.25">
      <c r="A385" s="1847" t="s">
        <v>6</v>
      </c>
      <c r="B385" s="1848"/>
      <c r="C385" s="1849"/>
      <c r="D385" s="1335" t="s">
        <v>7</v>
      </c>
      <c r="E385" s="1335" t="s">
        <v>638</v>
      </c>
      <c r="F385" s="1335" t="s">
        <v>138</v>
      </c>
      <c r="G385" s="1335" t="s">
        <v>140</v>
      </c>
      <c r="H385" s="1367" t="s">
        <v>139</v>
      </c>
    </row>
    <row r="386" spans="1:8" s="1343" customFormat="1" ht="15" customHeight="1" x14ac:dyDescent="0.2">
      <c r="A386" s="1344">
        <v>338</v>
      </c>
      <c r="B386" s="1345" t="s">
        <v>410</v>
      </c>
      <c r="C386" s="1339" t="s">
        <v>1206</v>
      </c>
      <c r="D386" s="1346" t="s">
        <v>1950</v>
      </c>
      <c r="E386" s="1350">
        <v>44474</v>
      </c>
      <c r="F386" s="1349" t="s">
        <v>1541</v>
      </c>
      <c r="G386" s="1348">
        <v>0</v>
      </c>
      <c r="H386" s="1407" t="s">
        <v>1215</v>
      </c>
    </row>
    <row r="387" spans="1:8" s="1343" customFormat="1" ht="22.5" customHeight="1" x14ac:dyDescent="0.2">
      <c r="A387" s="1344">
        <v>339</v>
      </c>
      <c r="B387" s="1345" t="s">
        <v>410</v>
      </c>
      <c r="C387" s="1339" t="s">
        <v>1206</v>
      </c>
      <c r="D387" s="990" t="s">
        <v>1927</v>
      </c>
      <c r="E387" s="1350">
        <v>44495</v>
      </c>
      <c r="F387" s="1349" t="s">
        <v>1542</v>
      </c>
      <c r="G387" s="1348">
        <v>0</v>
      </c>
      <c r="H387" s="1406" t="s">
        <v>1739</v>
      </c>
    </row>
    <row r="388" spans="1:8" s="1343" customFormat="1" ht="15" customHeight="1" x14ac:dyDescent="0.2">
      <c r="A388" s="1344">
        <v>340</v>
      </c>
      <c r="B388" s="1345" t="s">
        <v>410</v>
      </c>
      <c r="C388" s="1339" t="s">
        <v>1206</v>
      </c>
      <c r="D388" s="1304" t="s">
        <v>771</v>
      </c>
      <c r="E388" s="1350">
        <v>44488</v>
      </c>
      <c r="F388" s="1349" t="s">
        <v>1543</v>
      </c>
      <c r="G388" s="1348">
        <v>0</v>
      </c>
      <c r="H388" s="1406" t="s">
        <v>1213</v>
      </c>
    </row>
    <row r="389" spans="1:8" s="1343" customFormat="1" ht="15" customHeight="1" x14ac:dyDescent="0.2">
      <c r="A389" s="1344">
        <v>341</v>
      </c>
      <c r="B389" s="1345" t="s">
        <v>410</v>
      </c>
      <c r="C389" s="1339" t="s">
        <v>1206</v>
      </c>
      <c r="D389" s="1346" t="s">
        <v>764</v>
      </c>
      <c r="E389" s="1350">
        <v>44530</v>
      </c>
      <c r="F389" s="1349" t="s">
        <v>1544</v>
      </c>
      <c r="G389" s="1348">
        <v>0</v>
      </c>
      <c r="H389" s="1406" t="s">
        <v>1742</v>
      </c>
    </row>
    <row r="390" spans="1:8" s="1343" customFormat="1" ht="15" customHeight="1" x14ac:dyDescent="0.2">
      <c r="A390" s="1344">
        <v>342</v>
      </c>
      <c r="B390" s="1345" t="s">
        <v>410</v>
      </c>
      <c r="C390" s="1339" t="s">
        <v>1206</v>
      </c>
      <c r="D390" s="990" t="s">
        <v>141</v>
      </c>
      <c r="E390" s="1350">
        <v>44488</v>
      </c>
      <c r="F390" s="1349" t="s">
        <v>1545</v>
      </c>
      <c r="G390" s="1348">
        <v>2051.4</v>
      </c>
      <c r="H390" s="1406" t="s">
        <v>1211</v>
      </c>
    </row>
    <row r="391" spans="1:8" s="1343" customFormat="1" ht="15" customHeight="1" x14ac:dyDescent="0.2">
      <c r="A391" s="1344">
        <v>343</v>
      </c>
      <c r="B391" s="1345" t="s">
        <v>410</v>
      </c>
      <c r="C391" s="1339" t="s">
        <v>1206</v>
      </c>
      <c r="D391" s="1346" t="s">
        <v>1768</v>
      </c>
      <c r="E391" s="1350">
        <v>44488</v>
      </c>
      <c r="F391" s="1349" t="s">
        <v>1546</v>
      </c>
      <c r="G391" s="1348">
        <v>7.23</v>
      </c>
      <c r="H391" s="1406" t="s">
        <v>1211</v>
      </c>
    </row>
    <row r="392" spans="1:8" s="1343" customFormat="1" ht="15" customHeight="1" x14ac:dyDescent="0.2">
      <c r="A392" s="1344">
        <v>344</v>
      </c>
      <c r="B392" s="1345" t="s">
        <v>410</v>
      </c>
      <c r="C392" s="1339" t="s">
        <v>1206</v>
      </c>
      <c r="D392" s="1346" t="s">
        <v>764</v>
      </c>
      <c r="E392" s="1350">
        <v>44488</v>
      </c>
      <c r="F392" s="1349" t="s">
        <v>1566</v>
      </c>
      <c r="G392" s="1348">
        <v>0</v>
      </c>
      <c r="H392" s="1406" t="s">
        <v>1742</v>
      </c>
    </row>
    <row r="393" spans="1:8" s="1343" customFormat="1" ht="15" customHeight="1" x14ac:dyDescent="0.2">
      <c r="A393" s="1344">
        <v>345</v>
      </c>
      <c r="B393" s="1345" t="s">
        <v>410</v>
      </c>
      <c r="C393" s="1339" t="s">
        <v>1206</v>
      </c>
      <c r="D393" s="990" t="s">
        <v>1951</v>
      </c>
      <c r="E393" s="1350">
        <v>44488</v>
      </c>
      <c r="F393" s="1349" t="s">
        <v>1547</v>
      </c>
      <c r="G393" s="1348">
        <v>0</v>
      </c>
      <c r="H393" s="1406" t="s">
        <v>1742</v>
      </c>
    </row>
    <row r="394" spans="1:8" s="1343" customFormat="1" ht="15" customHeight="1" x14ac:dyDescent="0.2">
      <c r="A394" s="1344">
        <v>346</v>
      </c>
      <c r="B394" s="1345" t="s">
        <v>410</v>
      </c>
      <c r="C394" s="1339" t="s">
        <v>1206</v>
      </c>
      <c r="D394" s="1346" t="s">
        <v>1952</v>
      </c>
      <c r="E394" s="1350">
        <v>44488</v>
      </c>
      <c r="F394" s="1349" t="s">
        <v>1548</v>
      </c>
      <c r="G394" s="1348">
        <v>131933.20000000001</v>
      </c>
      <c r="H394" s="1406" t="s">
        <v>1916</v>
      </c>
    </row>
    <row r="395" spans="1:8" s="1343" customFormat="1" ht="15" customHeight="1" x14ac:dyDescent="0.2">
      <c r="A395" s="1344">
        <v>347</v>
      </c>
      <c r="B395" s="1345" t="s">
        <v>410</v>
      </c>
      <c r="C395" s="1339" t="s">
        <v>1206</v>
      </c>
      <c r="D395" s="1346" t="s">
        <v>1883</v>
      </c>
      <c r="E395" s="1350">
        <v>44488</v>
      </c>
      <c r="F395" s="1349" t="s">
        <v>1549</v>
      </c>
      <c r="G395" s="1348">
        <v>0</v>
      </c>
      <c r="H395" s="1406" t="s">
        <v>1213</v>
      </c>
    </row>
    <row r="396" spans="1:8" s="1343" customFormat="1" ht="15" customHeight="1" x14ac:dyDescent="0.2">
      <c r="A396" s="1378">
        <v>348</v>
      </c>
      <c r="B396" s="1379" t="s">
        <v>410</v>
      </c>
      <c r="C396" s="1339" t="s">
        <v>1206</v>
      </c>
      <c r="D396" s="1305" t="s">
        <v>1953</v>
      </c>
      <c r="E396" s="1380">
        <v>44488</v>
      </c>
      <c r="F396" s="1380" t="s">
        <v>1550</v>
      </c>
      <c r="G396" s="989">
        <v>0</v>
      </c>
      <c r="H396" s="1406" t="s">
        <v>1224</v>
      </c>
    </row>
    <row r="397" spans="1:8" s="1343" customFormat="1" ht="15" customHeight="1" x14ac:dyDescent="0.2">
      <c r="A397" s="1344">
        <v>349</v>
      </c>
      <c r="B397" s="1345" t="s">
        <v>410</v>
      </c>
      <c r="C397" s="1339" t="s">
        <v>1206</v>
      </c>
      <c r="D397" s="1346" t="s">
        <v>1852</v>
      </c>
      <c r="E397" s="1350">
        <v>44488</v>
      </c>
      <c r="F397" s="1349" t="s">
        <v>1551</v>
      </c>
      <c r="G397" s="1348">
        <v>0</v>
      </c>
      <c r="H397" s="1406" t="s">
        <v>1211</v>
      </c>
    </row>
    <row r="398" spans="1:8" s="1343" customFormat="1" ht="15" customHeight="1" x14ac:dyDescent="0.2">
      <c r="A398" s="1344">
        <v>350</v>
      </c>
      <c r="B398" s="1345" t="s">
        <v>410</v>
      </c>
      <c r="C398" s="1339" t="s">
        <v>1206</v>
      </c>
      <c r="D398" s="1346" t="s">
        <v>741</v>
      </c>
      <c r="E398" s="1350">
        <v>44488</v>
      </c>
      <c r="F398" s="1349" t="s">
        <v>1552</v>
      </c>
      <c r="G398" s="1348">
        <v>0</v>
      </c>
      <c r="H398" s="1406" t="s">
        <v>1211</v>
      </c>
    </row>
    <row r="399" spans="1:8" s="1343" customFormat="1" ht="15" customHeight="1" x14ac:dyDescent="0.2">
      <c r="A399" s="1344">
        <v>351</v>
      </c>
      <c r="B399" s="1345" t="s">
        <v>410</v>
      </c>
      <c r="C399" s="1339" t="s">
        <v>1206</v>
      </c>
      <c r="D399" s="1304" t="s">
        <v>1954</v>
      </c>
      <c r="E399" s="1350">
        <v>44488</v>
      </c>
      <c r="F399" s="1349" t="s">
        <v>1553</v>
      </c>
      <c r="G399" s="1348">
        <v>199.02</v>
      </c>
      <c r="H399" s="1409" t="s">
        <v>1745</v>
      </c>
    </row>
    <row r="400" spans="1:8" s="1343" customFormat="1" ht="15" customHeight="1" x14ac:dyDescent="0.2">
      <c r="A400" s="1378">
        <v>352</v>
      </c>
      <c r="B400" s="1379" t="s">
        <v>410</v>
      </c>
      <c r="C400" s="1339" t="s">
        <v>1206</v>
      </c>
      <c r="D400" s="1305" t="s">
        <v>1955</v>
      </c>
      <c r="E400" s="1380">
        <v>44495</v>
      </c>
      <c r="F400" s="1380" t="s">
        <v>1554</v>
      </c>
      <c r="G400" s="989">
        <v>0</v>
      </c>
      <c r="H400" s="1406" t="s">
        <v>1215</v>
      </c>
    </row>
    <row r="401" spans="1:8" s="1343" customFormat="1" ht="15" customHeight="1" x14ac:dyDescent="0.2">
      <c r="A401" s="1378">
        <v>353</v>
      </c>
      <c r="B401" s="1379" t="s">
        <v>410</v>
      </c>
      <c r="C401" s="1339" t="s">
        <v>1206</v>
      </c>
      <c r="D401" s="1304" t="s">
        <v>1956</v>
      </c>
      <c r="E401" s="1380">
        <v>44495</v>
      </c>
      <c r="F401" s="1349" t="s">
        <v>1555</v>
      </c>
      <c r="G401" s="989">
        <v>0</v>
      </c>
      <c r="H401" s="1406" t="s">
        <v>1215</v>
      </c>
    </row>
    <row r="402" spans="1:8" s="1343" customFormat="1" ht="15" customHeight="1" x14ac:dyDescent="0.2">
      <c r="A402" s="1378">
        <v>354</v>
      </c>
      <c r="B402" s="1379" t="s">
        <v>410</v>
      </c>
      <c r="C402" s="1339" t="s">
        <v>1206</v>
      </c>
      <c r="D402" s="1305" t="s">
        <v>1950</v>
      </c>
      <c r="E402" s="1380">
        <v>44488</v>
      </c>
      <c r="F402" s="1349" t="s">
        <v>1556</v>
      </c>
      <c r="G402" s="989">
        <v>0</v>
      </c>
      <c r="H402" s="1406" t="s">
        <v>1215</v>
      </c>
    </row>
    <row r="403" spans="1:8" s="1343" customFormat="1" ht="15" customHeight="1" x14ac:dyDescent="0.2">
      <c r="A403" s="1383">
        <v>355</v>
      </c>
      <c r="B403" s="1384" t="s">
        <v>410</v>
      </c>
      <c r="C403" s="1339" t="s">
        <v>1206</v>
      </c>
      <c r="D403" s="1307" t="s">
        <v>746</v>
      </c>
      <c r="E403" s="1385">
        <v>44488</v>
      </c>
      <c r="F403" s="1352" t="s">
        <v>1557</v>
      </c>
      <c r="G403" s="1386">
        <v>0</v>
      </c>
      <c r="H403" s="1407" t="s">
        <v>1742</v>
      </c>
    </row>
    <row r="404" spans="1:8" s="1343" customFormat="1" ht="15" customHeight="1" x14ac:dyDescent="0.2">
      <c r="A404" s="1378">
        <v>356</v>
      </c>
      <c r="B404" s="1379" t="s">
        <v>410</v>
      </c>
      <c r="C404" s="1339" t="s">
        <v>1206</v>
      </c>
      <c r="D404" s="1305" t="s">
        <v>1830</v>
      </c>
      <c r="E404" s="1380">
        <v>44488</v>
      </c>
      <c r="F404" s="1349" t="s">
        <v>1558</v>
      </c>
      <c r="G404" s="989">
        <v>0</v>
      </c>
      <c r="H404" s="1406" t="s">
        <v>1211</v>
      </c>
    </row>
    <row r="405" spans="1:8" s="1343" customFormat="1" ht="15" customHeight="1" x14ac:dyDescent="0.2">
      <c r="A405" s="1383">
        <v>357</v>
      </c>
      <c r="B405" s="1384" t="s">
        <v>410</v>
      </c>
      <c r="C405" s="1339" t="s">
        <v>1206</v>
      </c>
      <c r="D405" s="1387" t="s">
        <v>1957</v>
      </c>
      <c r="E405" s="1385">
        <v>44530</v>
      </c>
      <c r="F405" s="1385" t="s">
        <v>1958</v>
      </c>
      <c r="G405" s="1386">
        <v>0</v>
      </c>
      <c r="H405" s="1407" t="s">
        <v>1745</v>
      </c>
    </row>
    <row r="406" spans="1:8" s="1343" customFormat="1" ht="15" customHeight="1" x14ac:dyDescent="0.2">
      <c r="A406" s="1378">
        <v>358</v>
      </c>
      <c r="B406" s="1379" t="s">
        <v>410</v>
      </c>
      <c r="C406" s="1339" t="s">
        <v>1206</v>
      </c>
      <c r="D406" s="1305" t="s">
        <v>1923</v>
      </c>
      <c r="E406" s="1380">
        <v>44530</v>
      </c>
      <c r="F406" s="1349" t="s">
        <v>1559</v>
      </c>
      <c r="G406" s="989">
        <v>0</v>
      </c>
      <c r="H406" s="1407" t="s">
        <v>1745</v>
      </c>
    </row>
    <row r="407" spans="1:8" s="1343" customFormat="1" ht="15" customHeight="1" x14ac:dyDescent="0.2">
      <c r="A407" s="1344">
        <v>359</v>
      </c>
      <c r="B407" s="1345" t="s">
        <v>410</v>
      </c>
      <c r="C407" s="1339" t="s">
        <v>1206</v>
      </c>
      <c r="D407" s="1346" t="s">
        <v>1959</v>
      </c>
      <c r="E407" s="1350">
        <v>44530</v>
      </c>
      <c r="F407" s="1349" t="s">
        <v>1560</v>
      </c>
      <c r="G407" s="1348">
        <v>0</v>
      </c>
      <c r="H407" s="1406" t="s">
        <v>1745</v>
      </c>
    </row>
    <row r="408" spans="1:8" s="1343" customFormat="1" ht="15" customHeight="1" x14ac:dyDescent="0.2">
      <c r="A408" s="1378">
        <v>360</v>
      </c>
      <c r="B408" s="1379" t="s">
        <v>410</v>
      </c>
      <c r="C408" s="1339" t="s">
        <v>1206</v>
      </c>
      <c r="D408" s="1304" t="s">
        <v>1960</v>
      </c>
      <c r="E408" s="1380">
        <v>44488</v>
      </c>
      <c r="F408" s="1349" t="s">
        <v>1561</v>
      </c>
      <c r="G408" s="989">
        <v>0</v>
      </c>
      <c r="H408" s="1406" t="s">
        <v>1739</v>
      </c>
    </row>
    <row r="409" spans="1:8" s="1343" customFormat="1" ht="15" customHeight="1" x14ac:dyDescent="0.2">
      <c r="A409" s="1378">
        <v>361</v>
      </c>
      <c r="B409" s="1379" t="s">
        <v>410</v>
      </c>
      <c r="C409" s="1339" t="s">
        <v>1206</v>
      </c>
      <c r="D409" s="1304" t="s">
        <v>447</v>
      </c>
      <c r="E409" s="1380">
        <v>44502</v>
      </c>
      <c r="F409" s="1380" t="s">
        <v>1562</v>
      </c>
      <c r="G409" s="989">
        <v>197.24</v>
      </c>
      <c r="H409" s="1406" t="s">
        <v>1224</v>
      </c>
    </row>
    <row r="410" spans="1:8" s="1343" customFormat="1" ht="15" customHeight="1" x14ac:dyDescent="0.2">
      <c r="A410" s="1378">
        <v>362</v>
      </c>
      <c r="B410" s="1379" t="s">
        <v>410</v>
      </c>
      <c r="C410" s="1339" t="s">
        <v>1206</v>
      </c>
      <c r="D410" s="1305" t="s">
        <v>1795</v>
      </c>
      <c r="E410" s="1380">
        <v>44502</v>
      </c>
      <c r="F410" s="1349" t="s">
        <v>1563</v>
      </c>
      <c r="G410" s="989">
        <v>0</v>
      </c>
      <c r="H410" s="1406" t="s">
        <v>1211</v>
      </c>
    </row>
    <row r="411" spans="1:8" s="1343" customFormat="1" ht="15" customHeight="1" x14ac:dyDescent="0.2">
      <c r="A411" s="1378">
        <v>363</v>
      </c>
      <c r="B411" s="1379" t="s">
        <v>410</v>
      </c>
      <c r="C411" s="1339" t="s">
        <v>1206</v>
      </c>
      <c r="D411" s="1305" t="s">
        <v>1961</v>
      </c>
      <c r="E411" s="1380">
        <v>44530</v>
      </c>
      <c r="F411" s="1349" t="s">
        <v>1564</v>
      </c>
      <c r="G411" s="989">
        <v>0</v>
      </c>
      <c r="H411" s="1406" t="s">
        <v>1211</v>
      </c>
    </row>
    <row r="412" spans="1:8" s="1343" customFormat="1" ht="15" customHeight="1" x14ac:dyDescent="0.2">
      <c r="A412" s="1378">
        <v>364</v>
      </c>
      <c r="B412" s="1379" t="s">
        <v>410</v>
      </c>
      <c r="C412" s="1339" t="s">
        <v>1206</v>
      </c>
      <c r="D412" s="1305" t="s">
        <v>740</v>
      </c>
      <c r="E412" s="1380">
        <v>44502</v>
      </c>
      <c r="F412" s="1349" t="s">
        <v>1565</v>
      </c>
      <c r="G412" s="989">
        <v>0</v>
      </c>
      <c r="H412" s="1406" t="s">
        <v>1213</v>
      </c>
    </row>
    <row r="413" spans="1:8" s="1343" customFormat="1" ht="15" customHeight="1" x14ac:dyDescent="0.2">
      <c r="A413" s="1378">
        <v>365</v>
      </c>
      <c r="B413" s="1379" t="s">
        <v>410</v>
      </c>
      <c r="C413" s="1339" t="s">
        <v>1206</v>
      </c>
      <c r="D413" s="1346" t="s">
        <v>1798</v>
      </c>
      <c r="E413" s="1380">
        <v>44488</v>
      </c>
      <c r="F413" s="1349" t="s">
        <v>1566</v>
      </c>
      <c r="G413" s="989">
        <v>0</v>
      </c>
      <c r="H413" s="1406" t="s">
        <v>1860</v>
      </c>
    </row>
    <row r="414" spans="1:8" s="1343" customFormat="1" ht="15" customHeight="1" x14ac:dyDescent="0.2">
      <c r="A414" s="1378">
        <v>366</v>
      </c>
      <c r="B414" s="1379" t="s">
        <v>410</v>
      </c>
      <c r="C414" s="1339" t="s">
        <v>1206</v>
      </c>
      <c r="D414" s="1305" t="s">
        <v>1839</v>
      </c>
      <c r="E414" s="1380">
        <v>44530</v>
      </c>
      <c r="F414" s="1349" t="s">
        <v>1567</v>
      </c>
      <c r="G414" s="989">
        <v>0</v>
      </c>
      <c r="H414" s="1406" t="s">
        <v>1224</v>
      </c>
    </row>
    <row r="415" spans="1:8" s="1343" customFormat="1" ht="15" customHeight="1" x14ac:dyDescent="0.2">
      <c r="A415" s="1378">
        <v>367</v>
      </c>
      <c r="B415" s="1379" t="s">
        <v>410</v>
      </c>
      <c r="C415" s="1339" t="s">
        <v>1206</v>
      </c>
      <c r="D415" s="1305" t="s">
        <v>376</v>
      </c>
      <c r="E415" s="1380">
        <v>44495</v>
      </c>
      <c r="F415" s="1349" t="s">
        <v>1568</v>
      </c>
      <c r="G415" s="989">
        <v>47794</v>
      </c>
      <c r="H415" s="1406" t="s">
        <v>1213</v>
      </c>
    </row>
    <row r="416" spans="1:8" s="1343" customFormat="1" ht="15" customHeight="1" x14ac:dyDescent="0.2">
      <c r="A416" s="1378">
        <v>368</v>
      </c>
      <c r="B416" s="1379" t="s">
        <v>410</v>
      </c>
      <c r="C416" s="1354" t="s">
        <v>1206</v>
      </c>
      <c r="D416" s="1304" t="s">
        <v>1962</v>
      </c>
      <c r="E416" s="1380">
        <v>44530</v>
      </c>
      <c r="F416" s="1380" t="s">
        <v>1569</v>
      </c>
      <c r="G416" s="989">
        <v>6151.74</v>
      </c>
      <c r="H416" s="1406" t="s">
        <v>1211</v>
      </c>
    </row>
    <row r="417" spans="1:8" s="1343" customFormat="1" ht="15" customHeight="1" x14ac:dyDescent="0.2">
      <c r="A417" s="1383">
        <v>369</v>
      </c>
      <c r="B417" s="1384" t="s">
        <v>410</v>
      </c>
      <c r="C417" s="1339" t="s">
        <v>1206</v>
      </c>
      <c r="D417" s="1387" t="s">
        <v>1830</v>
      </c>
      <c r="E417" s="1385">
        <v>44502</v>
      </c>
      <c r="F417" s="1385" t="s">
        <v>1570</v>
      </c>
      <c r="G417" s="1386">
        <v>0</v>
      </c>
      <c r="H417" s="1407" t="s">
        <v>1211</v>
      </c>
    </row>
    <row r="418" spans="1:8" s="1343" customFormat="1" ht="15" customHeight="1" x14ac:dyDescent="0.2">
      <c r="A418" s="1378">
        <v>370</v>
      </c>
      <c r="B418" s="1379" t="s">
        <v>410</v>
      </c>
      <c r="C418" s="1339" t="s">
        <v>1206</v>
      </c>
      <c r="D418" s="1305" t="s">
        <v>1852</v>
      </c>
      <c r="E418" s="1380">
        <v>44502</v>
      </c>
      <c r="F418" s="1349" t="s">
        <v>1571</v>
      </c>
      <c r="G418" s="989">
        <v>0</v>
      </c>
      <c r="H418" s="1407" t="s">
        <v>1211</v>
      </c>
    </row>
    <row r="419" spans="1:8" s="1343" customFormat="1" ht="15" customHeight="1" x14ac:dyDescent="0.2">
      <c r="A419" s="1378">
        <v>371</v>
      </c>
      <c r="B419" s="1379" t="s">
        <v>410</v>
      </c>
      <c r="C419" s="1339" t="s">
        <v>1206</v>
      </c>
      <c r="D419" s="1304" t="s">
        <v>1798</v>
      </c>
      <c r="E419" s="1380">
        <v>44502</v>
      </c>
      <c r="F419" s="1380" t="s">
        <v>1572</v>
      </c>
      <c r="G419" s="989">
        <v>0</v>
      </c>
      <c r="H419" s="1406" t="s">
        <v>1860</v>
      </c>
    </row>
    <row r="420" spans="1:8" s="1343" customFormat="1" ht="15" customHeight="1" x14ac:dyDescent="0.2">
      <c r="A420" s="1378">
        <v>372</v>
      </c>
      <c r="B420" s="1379" t="s">
        <v>410</v>
      </c>
      <c r="C420" s="1339" t="s">
        <v>1206</v>
      </c>
      <c r="D420" s="1305" t="s">
        <v>741</v>
      </c>
      <c r="E420" s="1380">
        <v>44516</v>
      </c>
      <c r="F420" s="1349" t="s">
        <v>1573</v>
      </c>
      <c r="G420" s="989">
        <v>0</v>
      </c>
      <c r="H420" s="1406" t="s">
        <v>1211</v>
      </c>
    </row>
    <row r="421" spans="1:8" s="1343" customFormat="1" ht="15" customHeight="1" x14ac:dyDescent="0.2">
      <c r="A421" s="1383">
        <v>373</v>
      </c>
      <c r="B421" s="1384" t="s">
        <v>410</v>
      </c>
      <c r="C421" s="1339" t="s">
        <v>1206</v>
      </c>
      <c r="D421" s="1387" t="s">
        <v>1830</v>
      </c>
      <c r="E421" s="1385">
        <v>44530</v>
      </c>
      <c r="F421" s="1385" t="s">
        <v>1574</v>
      </c>
      <c r="G421" s="1386">
        <v>0</v>
      </c>
      <c r="H421" s="1407" t="s">
        <v>1211</v>
      </c>
    </row>
    <row r="422" spans="1:8" s="1343" customFormat="1" ht="15" customHeight="1" x14ac:dyDescent="0.2">
      <c r="A422" s="1378">
        <v>374</v>
      </c>
      <c r="B422" s="1379" t="s">
        <v>410</v>
      </c>
      <c r="C422" s="1339" t="s">
        <v>1206</v>
      </c>
      <c r="D422" s="1305" t="s">
        <v>645</v>
      </c>
      <c r="E422" s="1380">
        <v>44502</v>
      </c>
      <c r="F422" s="1380" t="s">
        <v>1575</v>
      </c>
      <c r="G422" s="989">
        <v>17.45</v>
      </c>
      <c r="H422" s="1406" t="s">
        <v>1211</v>
      </c>
    </row>
    <row r="423" spans="1:8" s="1343" customFormat="1" ht="15" customHeight="1" x14ac:dyDescent="0.2">
      <c r="A423" s="1378">
        <v>375</v>
      </c>
      <c r="B423" s="1379" t="s">
        <v>410</v>
      </c>
      <c r="C423" s="1339" t="s">
        <v>1206</v>
      </c>
      <c r="D423" s="1304" t="s">
        <v>141</v>
      </c>
      <c r="E423" s="1380">
        <v>44515</v>
      </c>
      <c r="F423" s="1380" t="s">
        <v>1576</v>
      </c>
      <c r="G423" s="989">
        <v>72444.98</v>
      </c>
      <c r="H423" s="1406" t="s">
        <v>1211</v>
      </c>
    </row>
    <row r="424" spans="1:8" s="1343" customFormat="1" ht="15" customHeight="1" x14ac:dyDescent="0.2">
      <c r="A424" s="1378">
        <v>376</v>
      </c>
      <c r="B424" s="1379" t="s">
        <v>410</v>
      </c>
      <c r="C424" s="1339" t="s">
        <v>1206</v>
      </c>
      <c r="D424" s="1304" t="s">
        <v>1963</v>
      </c>
      <c r="E424" s="1380">
        <v>44502</v>
      </c>
      <c r="F424" s="1349" t="s">
        <v>1577</v>
      </c>
      <c r="G424" s="989">
        <v>0</v>
      </c>
      <c r="H424" s="1406" t="s">
        <v>1916</v>
      </c>
    </row>
    <row r="425" spans="1:8" s="1343" customFormat="1" ht="15" customHeight="1" x14ac:dyDescent="0.2">
      <c r="A425" s="1378">
        <v>377</v>
      </c>
      <c r="B425" s="1379" t="s">
        <v>410</v>
      </c>
      <c r="C425" s="1339" t="s">
        <v>1206</v>
      </c>
      <c r="D425" s="1305" t="s">
        <v>446</v>
      </c>
      <c r="E425" s="1380">
        <v>44516</v>
      </c>
      <c r="F425" s="1349" t="s">
        <v>1578</v>
      </c>
      <c r="G425" s="989">
        <v>0</v>
      </c>
      <c r="H425" s="1406" t="s">
        <v>1742</v>
      </c>
    </row>
    <row r="426" spans="1:8" s="1343" customFormat="1" ht="15" customHeight="1" x14ac:dyDescent="0.2">
      <c r="A426" s="1378">
        <v>378</v>
      </c>
      <c r="B426" s="1379" t="s">
        <v>410</v>
      </c>
      <c r="C426" s="1339" t="s">
        <v>1206</v>
      </c>
      <c r="D426" s="1305" t="s">
        <v>141</v>
      </c>
      <c r="E426" s="1380">
        <v>44502</v>
      </c>
      <c r="F426" s="1380" t="s">
        <v>1579</v>
      </c>
      <c r="G426" s="989">
        <v>4361.97</v>
      </c>
      <c r="H426" s="1406" t="s">
        <v>1211</v>
      </c>
    </row>
    <row r="427" spans="1:8" s="1343" customFormat="1" ht="15" customHeight="1" x14ac:dyDescent="0.2">
      <c r="A427" s="1378">
        <v>379</v>
      </c>
      <c r="B427" s="1379" t="s">
        <v>410</v>
      </c>
      <c r="C427" s="1339" t="s">
        <v>1206</v>
      </c>
      <c r="D427" s="1305" t="s">
        <v>740</v>
      </c>
      <c r="E427" s="1380">
        <v>44530</v>
      </c>
      <c r="F427" s="1349" t="s">
        <v>1580</v>
      </c>
      <c r="G427" s="989">
        <v>0</v>
      </c>
      <c r="H427" s="1406" t="s">
        <v>1213</v>
      </c>
    </row>
    <row r="428" spans="1:8" s="1343" customFormat="1" ht="15" customHeight="1" x14ac:dyDescent="0.2">
      <c r="A428" s="1378">
        <v>380</v>
      </c>
      <c r="B428" s="1379" t="s">
        <v>410</v>
      </c>
      <c r="C428" s="1339" t="s">
        <v>1206</v>
      </c>
      <c r="D428" s="1304" t="s">
        <v>740</v>
      </c>
      <c r="E428" s="1380">
        <v>44516</v>
      </c>
      <c r="F428" s="1349" t="s">
        <v>1581</v>
      </c>
      <c r="G428" s="989">
        <v>0</v>
      </c>
      <c r="H428" s="1406" t="s">
        <v>1213</v>
      </c>
    </row>
    <row r="429" spans="1:8" s="1343" customFormat="1" ht="15" customHeight="1" x14ac:dyDescent="0.2">
      <c r="A429" s="1378">
        <v>381</v>
      </c>
      <c r="B429" s="1379" t="s">
        <v>410</v>
      </c>
      <c r="C429" s="1339" t="s">
        <v>1206</v>
      </c>
      <c r="D429" s="1305" t="s">
        <v>1930</v>
      </c>
      <c r="E429" s="1380">
        <v>44516</v>
      </c>
      <c r="F429" s="1349" t="s">
        <v>1582</v>
      </c>
      <c r="G429" s="989">
        <v>-444.87</v>
      </c>
      <c r="H429" s="1406" t="s">
        <v>1211</v>
      </c>
    </row>
    <row r="430" spans="1:8" s="1343" customFormat="1" ht="15" customHeight="1" x14ac:dyDescent="0.2">
      <c r="A430" s="1378">
        <v>382</v>
      </c>
      <c r="B430" s="1379" t="s">
        <v>410</v>
      </c>
      <c r="C430" s="1339" t="s">
        <v>1206</v>
      </c>
      <c r="D430" s="1304" t="s">
        <v>1964</v>
      </c>
      <c r="E430" s="1380">
        <v>44530</v>
      </c>
      <c r="F430" s="1380" t="s">
        <v>1583</v>
      </c>
      <c r="G430" s="989">
        <v>0</v>
      </c>
      <c r="H430" s="1406" t="s">
        <v>1211</v>
      </c>
    </row>
    <row r="431" spans="1:8" s="1343" customFormat="1" ht="22.5" customHeight="1" x14ac:dyDescent="0.2">
      <c r="A431" s="1378">
        <v>383</v>
      </c>
      <c r="B431" s="1379" t="s">
        <v>410</v>
      </c>
      <c r="C431" s="1339" t="s">
        <v>1206</v>
      </c>
      <c r="D431" s="1304" t="s">
        <v>1965</v>
      </c>
      <c r="E431" s="1380">
        <v>44516</v>
      </c>
      <c r="F431" s="1349" t="s">
        <v>1584</v>
      </c>
      <c r="G431" s="989">
        <v>67.22</v>
      </c>
      <c r="H431" s="1406" t="s">
        <v>1213</v>
      </c>
    </row>
    <row r="432" spans="1:8" s="1343" customFormat="1" ht="15" customHeight="1" x14ac:dyDescent="0.2">
      <c r="A432" s="1378">
        <v>384</v>
      </c>
      <c r="B432" s="1379" t="s">
        <v>410</v>
      </c>
      <c r="C432" s="1339" t="s">
        <v>1206</v>
      </c>
      <c r="D432" s="1305" t="s">
        <v>377</v>
      </c>
      <c r="E432" s="1380">
        <v>44516</v>
      </c>
      <c r="F432" s="1349" t="s">
        <v>1585</v>
      </c>
      <c r="G432" s="989">
        <v>290.39999999999998</v>
      </c>
      <c r="H432" s="1406" t="s">
        <v>1739</v>
      </c>
    </row>
    <row r="433" spans="1:8" s="1343" customFormat="1" ht="15" customHeight="1" thickBot="1" x14ac:dyDescent="0.25">
      <c r="A433" s="1388">
        <v>385</v>
      </c>
      <c r="B433" s="1389" t="s">
        <v>410</v>
      </c>
      <c r="C433" s="1371" t="s">
        <v>1206</v>
      </c>
      <c r="D433" s="1306" t="s">
        <v>1966</v>
      </c>
      <c r="E433" s="1390">
        <v>44516</v>
      </c>
      <c r="F433" s="1359" t="s">
        <v>1586</v>
      </c>
      <c r="G433" s="1391">
        <v>1723.88</v>
      </c>
      <c r="H433" s="1408" t="s">
        <v>1742</v>
      </c>
    </row>
    <row r="434" spans="1:8" s="1343" customFormat="1" ht="15" customHeight="1" x14ac:dyDescent="0.2">
      <c r="A434" s="1381"/>
      <c r="B434" s="1381"/>
      <c r="C434" s="1381"/>
      <c r="D434" s="1381"/>
      <c r="E434" s="1381"/>
      <c r="F434" s="1381"/>
      <c r="G434" s="1381"/>
      <c r="H434" s="1382"/>
    </row>
    <row r="435" spans="1:8" s="1343" customFormat="1" ht="15" customHeight="1" x14ac:dyDescent="0.2">
      <c r="A435" s="1381"/>
      <c r="B435" s="1381"/>
      <c r="C435" s="1381"/>
      <c r="D435" s="1381"/>
      <c r="E435" s="1381"/>
      <c r="F435" s="1381"/>
      <c r="G435" s="1381"/>
      <c r="H435" s="1382"/>
    </row>
    <row r="436" spans="1:8" s="1343" customFormat="1" ht="15" customHeight="1" x14ac:dyDescent="0.2">
      <c r="A436" s="961"/>
      <c r="B436" s="961"/>
      <c r="C436" s="961"/>
      <c r="D436" s="961"/>
      <c r="E436" s="961"/>
      <c r="F436" s="961"/>
      <c r="G436" s="961"/>
      <c r="H436" s="1333" t="s">
        <v>647</v>
      </c>
    </row>
    <row r="437" spans="1:8" s="1343" customFormat="1" ht="15" customHeight="1" x14ac:dyDescent="0.2">
      <c r="A437" s="961"/>
      <c r="B437" s="961"/>
      <c r="C437" s="1845" t="s">
        <v>90</v>
      </c>
      <c r="D437" s="1845"/>
      <c r="E437" s="1845"/>
      <c r="F437" s="1845"/>
      <c r="G437" s="1845"/>
      <c r="H437" s="1845"/>
    </row>
    <row r="438" spans="1:8" s="1343" customFormat="1" ht="15" customHeight="1" x14ac:dyDescent="0.2">
      <c r="A438" s="961"/>
      <c r="B438" s="961"/>
      <c r="C438" s="1846" t="s">
        <v>1709</v>
      </c>
      <c r="D438" s="1846"/>
      <c r="E438" s="1846"/>
      <c r="F438" s="1846"/>
      <c r="G438" s="1846"/>
      <c r="H438" s="1846"/>
    </row>
    <row r="439" spans="1:8" s="1343" customFormat="1" ht="15" customHeight="1" thickBot="1" x14ac:dyDescent="0.25">
      <c r="A439" s="1376"/>
      <c r="B439" s="1376"/>
      <c r="C439" s="1376"/>
      <c r="D439" s="1376"/>
      <c r="E439" s="1376"/>
      <c r="F439" s="1376"/>
      <c r="G439" s="1376"/>
      <c r="H439" s="1377"/>
    </row>
    <row r="440" spans="1:8" s="1343" customFormat="1" ht="32.25" customHeight="1" thickBot="1" x14ac:dyDescent="0.25">
      <c r="A440" s="1847" t="s">
        <v>6</v>
      </c>
      <c r="B440" s="1848"/>
      <c r="C440" s="1849"/>
      <c r="D440" s="1335" t="s">
        <v>7</v>
      </c>
      <c r="E440" s="1335" t="s">
        <v>638</v>
      </c>
      <c r="F440" s="1335" t="s">
        <v>138</v>
      </c>
      <c r="G440" s="1335" t="s">
        <v>140</v>
      </c>
      <c r="H440" s="1367" t="s">
        <v>139</v>
      </c>
    </row>
    <row r="441" spans="1:8" s="1343" customFormat="1" ht="15" customHeight="1" x14ac:dyDescent="0.2">
      <c r="A441" s="1378">
        <v>386</v>
      </c>
      <c r="B441" s="1379" t="s">
        <v>410</v>
      </c>
      <c r="C441" s="1339" t="s">
        <v>1206</v>
      </c>
      <c r="D441" s="1304" t="s">
        <v>1753</v>
      </c>
      <c r="E441" s="1380">
        <v>44516</v>
      </c>
      <c r="F441" s="1380" t="s">
        <v>1587</v>
      </c>
      <c r="G441" s="989">
        <v>0</v>
      </c>
      <c r="H441" s="1406" t="s">
        <v>1742</v>
      </c>
    </row>
    <row r="442" spans="1:8" s="1343" customFormat="1" ht="15" customHeight="1" x14ac:dyDescent="0.2">
      <c r="A442" s="1378">
        <v>387</v>
      </c>
      <c r="B442" s="1379" t="s">
        <v>410</v>
      </c>
      <c r="C442" s="1339" t="s">
        <v>1206</v>
      </c>
      <c r="D442" s="1304" t="s">
        <v>640</v>
      </c>
      <c r="E442" s="1380">
        <v>44516</v>
      </c>
      <c r="F442" s="1380" t="s">
        <v>1588</v>
      </c>
      <c r="G442" s="989">
        <v>0</v>
      </c>
      <c r="H442" s="1406" t="s">
        <v>1750</v>
      </c>
    </row>
    <row r="443" spans="1:8" s="1343" customFormat="1" ht="15" customHeight="1" x14ac:dyDescent="0.2">
      <c r="A443" s="1378">
        <v>388</v>
      </c>
      <c r="B443" s="1379" t="s">
        <v>410</v>
      </c>
      <c r="C443" s="1339" t="s">
        <v>1206</v>
      </c>
      <c r="D443" s="1305" t="s">
        <v>1948</v>
      </c>
      <c r="E443" s="1380">
        <v>44516</v>
      </c>
      <c r="F443" s="1349" t="s">
        <v>1589</v>
      </c>
      <c r="G443" s="989">
        <v>0</v>
      </c>
      <c r="H443" s="1409" t="s">
        <v>1860</v>
      </c>
    </row>
    <row r="444" spans="1:8" s="1343" customFormat="1" ht="15" customHeight="1" x14ac:dyDescent="0.2">
      <c r="A444" s="1378">
        <v>389</v>
      </c>
      <c r="B444" s="1379" t="s">
        <v>410</v>
      </c>
      <c r="C444" s="1339" t="s">
        <v>1206</v>
      </c>
      <c r="D444" s="1305" t="s">
        <v>1948</v>
      </c>
      <c r="E444" s="1380">
        <v>44516</v>
      </c>
      <c r="F444" s="1349" t="s">
        <v>1590</v>
      </c>
      <c r="G444" s="989">
        <v>0</v>
      </c>
      <c r="H444" s="1409" t="s">
        <v>1860</v>
      </c>
    </row>
    <row r="445" spans="1:8" s="1343" customFormat="1" ht="15" customHeight="1" x14ac:dyDescent="0.2">
      <c r="A445" s="1378">
        <v>390</v>
      </c>
      <c r="B445" s="1379" t="s">
        <v>410</v>
      </c>
      <c r="C445" s="1339" t="s">
        <v>1206</v>
      </c>
      <c r="D445" s="1304" t="s">
        <v>1967</v>
      </c>
      <c r="E445" s="1380">
        <v>44530</v>
      </c>
      <c r="F445" s="1349" t="s">
        <v>1591</v>
      </c>
      <c r="G445" s="989">
        <v>0</v>
      </c>
      <c r="H445" s="1409" t="s">
        <v>1745</v>
      </c>
    </row>
    <row r="446" spans="1:8" s="1343" customFormat="1" ht="15" customHeight="1" x14ac:dyDescent="0.2">
      <c r="A446" s="1378">
        <v>391</v>
      </c>
      <c r="B446" s="1379" t="s">
        <v>410</v>
      </c>
      <c r="C446" s="1339" t="s">
        <v>1206</v>
      </c>
      <c r="D446" s="1304" t="s">
        <v>1968</v>
      </c>
      <c r="E446" s="1380">
        <v>44516</v>
      </c>
      <c r="F446" s="1349" t="s">
        <v>1592</v>
      </c>
      <c r="G446" s="989">
        <v>5521.33</v>
      </c>
      <c r="H446" s="1409" t="s">
        <v>1750</v>
      </c>
    </row>
    <row r="447" spans="1:8" s="1343" customFormat="1" ht="15" customHeight="1" x14ac:dyDescent="0.2">
      <c r="A447" s="1378">
        <v>392</v>
      </c>
      <c r="B447" s="1379" t="s">
        <v>410</v>
      </c>
      <c r="C447" s="1339" t="s">
        <v>1206</v>
      </c>
      <c r="D447" s="1304" t="s">
        <v>1969</v>
      </c>
      <c r="E447" s="1380">
        <v>44530</v>
      </c>
      <c r="F447" s="1349" t="s">
        <v>1593</v>
      </c>
      <c r="G447" s="989">
        <v>0</v>
      </c>
      <c r="H447" s="1409" t="s">
        <v>1224</v>
      </c>
    </row>
    <row r="448" spans="1:8" s="1343" customFormat="1" ht="15" customHeight="1" x14ac:dyDescent="0.2">
      <c r="A448" s="1378">
        <v>393</v>
      </c>
      <c r="B448" s="1379" t="s">
        <v>410</v>
      </c>
      <c r="C448" s="1339" t="s">
        <v>1206</v>
      </c>
      <c r="D448" s="1305" t="s">
        <v>1970</v>
      </c>
      <c r="E448" s="1380">
        <v>44530</v>
      </c>
      <c r="F448" s="1349" t="s">
        <v>1594</v>
      </c>
      <c r="G448" s="989">
        <v>0</v>
      </c>
      <c r="H448" s="1409" t="s">
        <v>1224</v>
      </c>
    </row>
    <row r="449" spans="1:8" s="1343" customFormat="1" ht="15" customHeight="1" x14ac:dyDescent="0.2">
      <c r="A449" s="1383">
        <v>394</v>
      </c>
      <c r="B449" s="1384" t="s">
        <v>410</v>
      </c>
      <c r="C449" s="1339" t="s">
        <v>1206</v>
      </c>
      <c r="D449" s="1387" t="s">
        <v>739</v>
      </c>
      <c r="E449" s="1385">
        <v>44516</v>
      </c>
      <c r="F449" s="1352" t="s">
        <v>1595</v>
      </c>
      <c r="G449" s="1386">
        <v>6.76</v>
      </c>
      <c r="H449" s="1410" t="s">
        <v>1739</v>
      </c>
    </row>
    <row r="450" spans="1:8" s="1343" customFormat="1" ht="15" customHeight="1" x14ac:dyDescent="0.2">
      <c r="A450" s="1378">
        <v>395</v>
      </c>
      <c r="B450" s="1379" t="s">
        <v>410</v>
      </c>
      <c r="C450" s="1339" t="s">
        <v>1206</v>
      </c>
      <c r="D450" s="1304" t="s">
        <v>1971</v>
      </c>
      <c r="E450" s="1380">
        <v>44551</v>
      </c>
      <c r="F450" s="1349" t="s">
        <v>1596</v>
      </c>
      <c r="G450" s="989">
        <v>0</v>
      </c>
      <c r="H450" s="1409" t="s">
        <v>1211</v>
      </c>
    </row>
    <row r="451" spans="1:8" s="1343" customFormat="1" ht="15" customHeight="1" x14ac:dyDescent="0.2">
      <c r="A451" s="1378">
        <v>396</v>
      </c>
      <c r="B451" s="1379" t="s">
        <v>410</v>
      </c>
      <c r="C451" s="1339" t="s">
        <v>1206</v>
      </c>
      <c r="D451" s="1304" t="s">
        <v>1972</v>
      </c>
      <c r="E451" s="1380">
        <v>44537</v>
      </c>
      <c r="F451" s="1349" t="s">
        <v>1597</v>
      </c>
      <c r="G451" s="989">
        <v>393.52</v>
      </c>
      <c r="H451" s="1409" t="s">
        <v>1211</v>
      </c>
    </row>
    <row r="452" spans="1:8" s="1343" customFormat="1" ht="15" customHeight="1" x14ac:dyDescent="0.2">
      <c r="A452" s="1378">
        <v>397</v>
      </c>
      <c r="B452" s="1379" t="s">
        <v>410</v>
      </c>
      <c r="C452" s="1339" t="s">
        <v>1206</v>
      </c>
      <c r="D452" s="1305" t="s">
        <v>1973</v>
      </c>
      <c r="E452" s="1380">
        <v>44537</v>
      </c>
      <c r="F452" s="1349" t="s">
        <v>1598</v>
      </c>
      <c r="G452" s="989">
        <v>88.29</v>
      </c>
      <c r="H452" s="1409" t="s">
        <v>1224</v>
      </c>
    </row>
    <row r="453" spans="1:8" s="1343" customFormat="1" ht="15" customHeight="1" x14ac:dyDescent="0.2">
      <c r="A453" s="1378">
        <v>398</v>
      </c>
      <c r="B453" s="1379" t="s">
        <v>410</v>
      </c>
      <c r="C453" s="1339" t="s">
        <v>1206</v>
      </c>
      <c r="D453" s="1304" t="s">
        <v>743</v>
      </c>
      <c r="E453" s="1380">
        <v>44551</v>
      </c>
      <c r="F453" s="1349" t="s">
        <v>1599</v>
      </c>
      <c r="G453" s="989">
        <v>0</v>
      </c>
      <c r="H453" s="1409" t="s">
        <v>1860</v>
      </c>
    </row>
    <row r="454" spans="1:8" s="1343" customFormat="1" ht="15" customHeight="1" x14ac:dyDescent="0.2">
      <c r="A454" s="1383">
        <v>399</v>
      </c>
      <c r="B454" s="1384" t="s">
        <v>410</v>
      </c>
      <c r="C454" s="1339" t="s">
        <v>1206</v>
      </c>
      <c r="D454" s="1387" t="s">
        <v>1974</v>
      </c>
      <c r="E454" s="1385">
        <v>44537</v>
      </c>
      <c r="F454" s="1352" t="s">
        <v>1600</v>
      </c>
      <c r="G454" s="1386">
        <v>143.13999999999999</v>
      </c>
      <c r="H454" s="1410" t="s">
        <v>1860</v>
      </c>
    </row>
    <row r="455" spans="1:8" s="1343" customFormat="1" ht="15" customHeight="1" x14ac:dyDescent="0.2">
      <c r="A455" s="1378">
        <v>400</v>
      </c>
      <c r="B455" s="1379" t="s">
        <v>410</v>
      </c>
      <c r="C455" s="1339" t="s">
        <v>1206</v>
      </c>
      <c r="D455" s="1305" t="s">
        <v>1975</v>
      </c>
      <c r="E455" s="1380">
        <v>44537</v>
      </c>
      <c r="F455" s="1349" t="s">
        <v>1601</v>
      </c>
      <c r="G455" s="989">
        <v>-6.02</v>
      </c>
      <c r="H455" s="1409" t="s">
        <v>1211</v>
      </c>
    </row>
    <row r="456" spans="1:8" s="1343" customFormat="1" ht="15" customHeight="1" x14ac:dyDescent="0.2">
      <c r="A456" s="1378">
        <v>401</v>
      </c>
      <c r="B456" s="1379" t="s">
        <v>410</v>
      </c>
      <c r="C456" s="1339" t="s">
        <v>1206</v>
      </c>
      <c r="D456" s="1305" t="s">
        <v>376</v>
      </c>
      <c r="E456" s="1380">
        <v>44537</v>
      </c>
      <c r="F456" s="1349" t="s">
        <v>1602</v>
      </c>
      <c r="G456" s="989">
        <v>1521.56</v>
      </c>
      <c r="H456" s="1409" t="s">
        <v>1213</v>
      </c>
    </row>
    <row r="457" spans="1:8" s="1343" customFormat="1" ht="15" customHeight="1" x14ac:dyDescent="0.2">
      <c r="A457" s="1378">
        <v>402</v>
      </c>
      <c r="B457" s="1379" t="s">
        <v>410</v>
      </c>
      <c r="C457" s="1339" t="s">
        <v>1206</v>
      </c>
      <c r="D457" s="1305" t="s">
        <v>1976</v>
      </c>
      <c r="E457" s="1380">
        <v>44550</v>
      </c>
      <c r="F457" s="1349" t="s">
        <v>1603</v>
      </c>
      <c r="G457" s="989">
        <v>376.1</v>
      </c>
      <c r="H457" s="1409" t="s">
        <v>1211</v>
      </c>
    </row>
    <row r="458" spans="1:8" s="1343" customFormat="1" ht="15" customHeight="1" x14ac:dyDescent="0.2">
      <c r="A458" s="1378">
        <v>403</v>
      </c>
      <c r="B458" s="1379" t="s">
        <v>410</v>
      </c>
      <c r="C458" s="1339" t="s">
        <v>1206</v>
      </c>
      <c r="D458" s="1305" t="s">
        <v>1975</v>
      </c>
      <c r="E458" s="1380">
        <v>44537</v>
      </c>
      <c r="F458" s="1349" t="s">
        <v>1604</v>
      </c>
      <c r="G458" s="989">
        <v>-22621.439999999999</v>
      </c>
      <c r="H458" s="1409" t="s">
        <v>1211</v>
      </c>
    </row>
    <row r="459" spans="1:8" s="1343" customFormat="1" ht="15" customHeight="1" x14ac:dyDescent="0.2">
      <c r="A459" s="1378">
        <v>404</v>
      </c>
      <c r="B459" s="1379" t="s">
        <v>410</v>
      </c>
      <c r="C459" s="1339" t="s">
        <v>1206</v>
      </c>
      <c r="D459" s="1304" t="s">
        <v>1968</v>
      </c>
      <c r="E459" s="1380">
        <v>44529</v>
      </c>
      <c r="F459" s="1349" t="s">
        <v>1605</v>
      </c>
      <c r="G459" s="989">
        <v>430</v>
      </c>
      <c r="H459" s="1409" t="s">
        <v>1750</v>
      </c>
    </row>
    <row r="460" spans="1:8" s="1343" customFormat="1" ht="15" customHeight="1" x14ac:dyDescent="0.2">
      <c r="A460" s="1378">
        <v>405</v>
      </c>
      <c r="B460" s="1379" t="s">
        <v>410</v>
      </c>
      <c r="C460" s="1339" t="s">
        <v>1206</v>
      </c>
      <c r="D460" s="1305" t="s">
        <v>1753</v>
      </c>
      <c r="E460" s="1380">
        <v>44537</v>
      </c>
      <c r="F460" s="1349" t="s">
        <v>1606</v>
      </c>
      <c r="G460" s="989">
        <v>0</v>
      </c>
      <c r="H460" s="1409" t="s">
        <v>1742</v>
      </c>
    </row>
    <row r="461" spans="1:8" s="1343" customFormat="1" ht="15" customHeight="1" x14ac:dyDescent="0.2">
      <c r="A461" s="1378">
        <v>406</v>
      </c>
      <c r="B461" s="1379" t="s">
        <v>410</v>
      </c>
      <c r="C461" s="1339" t="s">
        <v>1206</v>
      </c>
      <c r="D461" s="1304" t="s">
        <v>1914</v>
      </c>
      <c r="E461" s="1380">
        <v>44551</v>
      </c>
      <c r="F461" s="1349" t="s">
        <v>1607</v>
      </c>
      <c r="G461" s="989">
        <v>0</v>
      </c>
      <c r="H461" s="1409" t="s">
        <v>1745</v>
      </c>
    </row>
    <row r="462" spans="1:8" s="1343" customFormat="1" ht="15" customHeight="1" x14ac:dyDescent="0.2">
      <c r="A462" s="1378">
        <v>407</v>
      </c>
      <c r="B462" s="1379" t="s">
        <v>410</v>
      </c>
      <c r="C462" s="1339" t="s">
        <v>1206</v>
      </c>
      <c r="D462" s="1304" t="s">
        <v>1798</v>
      </c>
      <c r="E462" s="1380">
        <v>44537</v>
      </c>
      <c r="F462" s="1349" t="s">
        <v>1608</v>
      </c>
      <c r="G462" s="989">
        <v>0</v>
      </c>
      <c r="H462" s="1409" t="s">
        <v>1860</v>
      </c>
    </row>
    <row r="463" spans="1:8" s="1343" customFormat="1" ht="15" customHeight="1" x14ac:dyDescent="0.2">
      <c r="A463" s="1378">
        <v>408</v>
      </c>
      <c r="B463" s="1379" t="s">
        <v>410</v>
      </c>
      <c r="C463" s="1339" t="s">
        <v>1206</v>
      </c>
      <c r="D463" s="1305" t="s">
        <v>1823</v>
      </c>
      <c r="E463" s="1380">
        <v>44537</v>
      </c>
      <c r="F463" s="1349" t="s">
        <v>1609</v>
      </c>
      <c r="G463" s="989">
        <v>2565</v>
      </c>
      <c r="H463" s="1409" t="s">
        <v>1211</v>
      </c>
    </row>
    <row r="464" spans="1:8" s="1343" customFormat="1" ht="15" customHeight="1" x14ac:dyDescent="0.2">
      <c r="A464" s="1378">
        <v>409</v>
      </c>
      <c r="B464" s="1379" t="s">
        <v>410</v>
      </c>
      <c r="C464" s="1354" t="s">
        <v>1206</v>
      </c>
      <c r="D464" s="1304" t="s">
        <v>640</v>
      </c>
      <c r="E464" s="1380">
        <v>44537</v>
      </c>
      <c r="F464" s="1349" t="s">
        <v>1610</v>
      </c>
      <c r="G464" s="989">
        <v>0</v>
      </c>
      <c r="H464" s="1409" t="s">
        <v>1750</v>
      </c>
    </row>
    <row r="465" spans="1:8" s="1343" customFormat="1" ht="15" customHeight="1" x14ac:dyDescent="0.2">
      <c r="A465" s="1383">
        <v>410</v>
      </c>
      <c r="B465" s="1384" t="s">
        <v>410</v>
      </c>
      <c r="C465" s="1339" t="s">
        <v>1206</v>
      </c>
      <c r="D465" s="1307" t="s">
        <v>1977</v>
      </c>
      <c r="E465" s="1385">
        <v>44551</v>
      </c>
      <c r="F465" s="1352" t="s">
        <v>1611</v>
      </c>
      <c r="G465" s="1386">
        <v>379.62</v>
      </c>
      <c r="H465" s="1410" t="s">
        <v>1745</v>
      </c>
    </row>
    <row r="466" spans="1:8" s="1343" customFormat="1" ht="15" customHeight="1" x14ac:dyDescent="0.2">
      <c r="A466" s="1378">
        <v>411</v>
      </c>
      <c r="B466" s="1379" t="s">
        <v>410</v>
      </c>
      <c r="C466" s="1354" t="s">
        <v>1206</v>
      </c>
      <c r="D466" s="1304" t="s">
        <v>1978</v>
      </c>
      <c r="E466" s="1380">
        <v>44551</v>
      </c>
      <c r="F466" s="1349" t="s">
        <v>1612</v>
      </c>
      <c r="G466" s="989">
        <v>565.79999999999995</v>
      </c>
      <c r="H466" s="1409" t="s">
        <v>1211</v>
      </c>
    </row>
    <row r="467" spans="1:8" s="1343" customFormat="1" ht="15" customHeight="1" x14ac:dyDescent="0.2">
      <c r="A467" s="1383">
        <v>412</v>
      </c>
      <c r="B467" s="1384" t="s">
        <v>410</v>
      </c>
      <c r="C467" s="1354" t="s">
        <v>1206</v>
      </c>
      <c r="D467" s="1307" t="s">
        <v>1979</v>
      </c>
      <c r="E467" s="1385">
        <v>44551</v>
      </c>
      <c r="F467" s="1352" t="s">
        <v>1980</v>
      </c>
      <c r="G467" s="1386">
        <v>0</v>
      </c>
      <c r="H467" s="1410" t="s">
        <v>1211</v>
      </c>
    </row>
    <row r="468" spans="1:8" s="1343" customFormat="1" ht="15" customHeight="1" x14ac:dyDescent="0.2">
      <c r="A468" s="1378">
        <v>413</v>
      </c>
      <c r="B468" s="1379" t="s">
        <v>410</v>
      </c>
      <c r="C468" s="1354" t="s">
        <v>1206</v>
      </c>
      <c r="D468" s="1304" t="s">
        <v>1981</v>
      </c>
      <c r="E468" s="1380">
        <v>44537</v>
      </c>
      <c r="F468" s="1349" t="s">
        <v>1613</v>
      </c>
      <c r="G468" s="989">
        <v>0</v>
      </c>
      <c r="H468" s="1409" t="s">
        <v>1211</v>
      </c>
    </row>
    <row r="469" spans="1:8" s="1343" customFormat="1" ht="15" customHeight="1" x14ac:dyDescent="0.2">
      <c r="A469" s="1378">
        <v>414</v>
      </c>
      <c r="B469" s="1379" t="s">
        <v>410</v>
      </c>
      <c r="C469" s="1354" t="s">
        <v>1206</v>
      </c>
      <c r="D469" s="1305" t="s">
        <v>1852</v>
      </c>
      <c r="E469" s="1380">
        <v>44537</v>
      </c>
      <c r="F469" s="1349" t="s">
        <v>1614</v>
      </c>
      <c r="G469" s="989">
        <v>0</v>
      </c>
      <c r="H469" s="1409" t="s">
        <v>1211</v>
      </c>
    </row>
    <row r="470" spans="1:8" s="1343" customFormat="1" ht="15" customHeight="1" x14ac:dyDescent="0.2">
      <c r="A470" s="1378">
        <v>415</v>
      </c>
      <c r="B470" s="1379" t="s">
        <v>410</v>
      </c>
      <c r="C470" s="1354" t="s">
        <v>1206</v>
      </c>
      <c r="D470" s="1304" t="s">
        <v>1982</v>
      </c>
      <c r="E470" s="1380">
        <v>44537</v>
      </c>
      <c r="F470" s="1349" t="s">
        <v>1615</v>
      </c>
      <c r="G470" s="989">
        <v>0</v>
      </c>
      <c r="H470" s="1409" t="s">
        <v>1742</v>
      </c>
    </row>
    <row r="471" spans="1:8" s="1343" customFormat="1" ht="15" customHeight="1" x14ac:dyDescent="0.2">
      <c r="A471" s="1378">
        <v>416</v>
      </c>
      <c r="B471" s="1379" t="s">
        <v>410</v>
      </c>
      <c r="C471" s="1354" t="s">
        <v>1206</v>
      </c>
      <c r="D471" s="1305" t="s">
        <v>446</v>
      </c>
      <c r="E471" s="1380">
        <v>44537</v>
      </c>
      <c r="F471" s="1349" t="s">
        <v>1616</v>
      </c>
      <c r="G471" s="989">
        <v>0</v>
      </c>
      <c r="H471" s="1409" t="s">
        <v>1742</v>
      </c>
    </row>
    <row r="472" spans="1:8" s="1343" customFormat="1" ht="15" customHeight="1" x14ac:dyDescent="0.2">
      <c r="A472" s="1378">
        <v>417</v>
      </c>
      <c r="B472" s="1379" t="s">
        <v>410</v>
      </c>
      <c r="C472" s="1354" t="s">
        <v>1206</v>
      </c>
      <c r="D472" s="1305" t="s">
        <v>1983</v>
      </c>
      <c r="E472" s="1380">
        <v>44537</v>
      </c>
      <c r="F472" s="1349" t="s">
        <v>1617</v>
      </c>
      <c r="G472" s="989">
        <v>-112.89</v>
      </c>
      <c r="H472" s="1409" t="s">
        <v>1211</v>
      </c>
    </row>
    <row r="473" spans="1:8" s="1343" customFormat="1" ht="15" customHeight="1" x14ac:dyDescent="0.2">
      <c r="A473" s="1378">
        <v>418</v>
      </c>
      <c r="B473" s="1379" t="s">
        <v>410</v>
      </c>
      <c r="C473" s="1354" t="s">
        <v>1206</v>
      </c>
      <c r="D473" s="1304" t="s">
        <v>1984</v>
      </c>
      <c r="E473" s="1380">
        <v>44537</v>
      </c>
      <c r="F473" s="1349" t="s">
        <v>1618</v>
      </c>
      <c r="G473" s="989">
        <v>0</v>
      </c>
      <c r="H473" s="1409" t="s">
        <v>1224</v>
      </c>
    </row>
    <row r="474" spans="1:8" s="1343" customFormat="1" ht="22.5" customHeight="1" x14ac:dyDescent="0.2">
      <c r="A474" s="1378">
        <v>419</v>
      </c>
      <c r="B474" s="1379" t="s">
        <v>410</v>
      </c>
      <c r="C474" s="1354" t="s">
        <v>1206</v>
      </c>
      <c r="D474" s="1304" t="s">
        <v>1985</v>
      </c>
      <c r="E474" s="1380">
        <v>44551</v>
      </c>
      <c r="F474" s="1349" t="s">
        <v>1619</v>
      </c>
      <c r="G474" s="989">
        <v>50</v>
      </c>
      <c r="H474" s="1409" t="s">
        <v>1860</v>
      </c>
    </row>
    <row r="475" spans="1:8" s="1343" customFormat="1" ht="15" customHeight="1" x14ac:dyDescent="0.2">
      <c r="A475" s="1378">
        <v>420</v>
      </c>
      <c r="B475" s="1379" t="s">
        <v>410</v>
      </c>
      <c r="C475" s="1354" t="s">
        <v>1206</v>
      </c>
      <c r="D475" s="1304" t="s">
        <v>411</v>
      </c>
      <c r="E475" s="1380">
        <v>44544</v>
      </c>
      <c r="F475" s="1349" t="s">
        <v>1620</v>
      </c>
      <c r="G475" s="989">
        <v>58.83</v>
      </c>
      <c r="H475" s="1409" t="s">
        <v>1745</v>
      </c>
    </row>
    <row r="476" spans="1:8" s="1343" customFormat="1" ht="15" customHeight="1" x14ac:dyDescent="0.2">
      <c r="A476" s="1378">
        <v>421</v>
      </c>
      <c r="B476" s="1379" t="s">
        <v>410</v>
      </c>
      <c r="C476" s="1354" t="s">
        <v>1206</v>
      </c>
      <c r="D476" s="1304" t="s">
        <v>1906</v>
      </c>
      <c r="E476" s="1380">
        <v>44550</v>
      </c>
      <c r="F476" s="1349" t="s">
        <v>1621</v>
      </c>
      <c r="G476" s="989">
        <v>0</v>
      </c>
      <c r="H476" s="1409" t="s">
        <v>1745</v>
      </c>
    </row>
    <row r="477" spans="1:8" s="1343" customFormat="1" ht="15" customHeight="1" x14ac:dyDescent="0.2">
      <c r="A477" s="1378">
        <v>422</v>
      </c>
      <c r="B477" s="1379" t="s">
        <v>410</v>
      </c>
      <c r="C477" s="1354" t="s">
        <v>1206</v>
      </c>
      <c r="D477" s="1305" t="s">
        <v>1986</v>
      </c>
      <c r="E477" s="1380">
        <v>44551</v>
      </c>
      <c r="F477" s="1349" t="s">
        <v>1622</v>
      </c>
      <c r="G477" s="989">
        <v>0</v>
      </c>
      <c r="H477" s="1409" t="s">
        <v>1211</v>
      </c>
    </row>
    <row r="478" spans="1:8" s="1343" customFormat="1" ht="15" customHeight="1" x14ac:dyDescent="0.2">
      <c r="A478" s="1378">
        <v>423</v>
      </c>
      <c r="B478" s="1379" t="s">
        <v>410</v>
      </c>
      <c r="C478" s="1354" t="s">
        <v>1206</v>
      </c>
      <c r="D478" s="1304" t="s">
        <v>1987</v>
      </c>
      <c r="E478" s="1380">
        <v>44544</v>
      </c>
      <c r="F478" s="1349" t="s">
        <v>1623</v>
      </c>
      <c r="G478" s="989">
        <v>0</v>
      </c>
      <c r="H478" s="1409" t="s">
        <v>1211</v>
      </c>
    </row>
    <row r="479" spans="1:8" s="1343" customFormat="1" ht="15" customHeight="1" x14ac:dyDescent="0.2">
      <c r="A479" s="1378">
        <v>424</v>
      </c>
      <c r="B479" s="1379" t="s">
        <v>410</v>
      </c>
      <c r="C479" s="1354" t="s">
        <v>1206</v>
      </c>
      <c r="D479" s="1305" t="s">
        <v>1988</v>
      </c>
      <c r="E479" s="1380">
        <v>44544</v>
      </c>
      <c r="F479" s="1349" t="s">
        <v>1624</v>
      </c>
      <c r="G479" s="989">
        <v>0</v>
      </c>
      <c r="H479" s="1409" t="s">
        <v>1211</v>
      </c>
    </row>
    <row r="480" spans="1:8" s="1343" customFormat="1" ht="15" customHeight="1" x14ac:dyDescent="0.2">
      <c r="A480" s="1378">
        <v>425</v>
      </c>
      <c r="B480" s="1379" t="s">
        <v>410</v>
      </c>
      <c r="C480" s="1354" t="s">
        <v>1206</v>
      </c>
      <c r="D480" s="1304" t="s">
        <v>1852</v>
      </c>
      <c r="E480" s="1380">
        <v>44544</v>
      </c>
      <c r="F480" s="1349" t="s">
        <v>1625</v>
      </c>
      <c r="G480" s="989">
        <v>0</v>
      </c>
      <c r="H480" s="1409" t="s">
        <v>1211</v>
      </c>
    </row>
    <row r="481" spans="1:8" s="1343" customFormat="1" ht="15" customHeight="1" x14ac:dyDescent="0.2">
      <c r="A481" s="1378">
        <v>426</v>
      </c>
      <c r="B481" s="1379" t="s">
        <v>410</v>
      </c>
      <c r="C481" s="1354" t="s">
        <v>1206</v>
      </c>
      <c r="D481" s="1305" t="s">
        <v>142</v>
      </c>
      <c r="E481" s="1380">
        <v>44544</v>
      </c>
      <c r="F481" s="1349" t="s">
        <v>1626</v>
      </c>
      <c r="G481" s="989">
        <v>1620.64</v>
      </c>
      <c r="H481" s="1409" t="s">
        <v>1213</v>
      </c>
    </row>
    <row r="482" spans="1:8" s="1343" customFormat="1" ht="15" customHeight="1" x14ac:dyDescent="0.2">
      <c r="A482" s="1378">
        <v>427</v>
      </c>
      <c r="B482" s="1379" t="s">
        <v>410</v>
      </c>
      <c r="C482" s="1354" t="s">
        <v>1206</v>
      </c>
      <c r="D482" s="1304" t="s">
        <v>1989</v>
      </c>
      <c r="E482" s="1380">
        <v>44544</v>
      </c>
      <c r="F482" s="1349" t="s">
        <v>1627</v>
      </c>
      <c r="G482" s="989">
        <v>1902.6</v>
      </c>
      <c r="H482" s="1409" t="s">
        <v>1224</v>
      </c>
    </row>
    <row r="483" spans="1:8" s="1343" customFormat="1" ht="15" customHeight="1" x14ac:dyDescent="0.2">
      <c r="A483" s="1378">
        <v>428</v>
      </c>
      <c r="B483" s="1379" t="s">
        <v>410</v>
      </c>
      <c r="C483" s="1354" t="s">
        <v>1206</v>
      </c>
      <c r="D483" s="1304" t="s">
        <v>1990</v>
      </c>
      <c r="E483" s="1380">
        <v>44551</v>
      </c>
      <c r="F483" s="1349" t="s">
        <v>1628</v>
      </c>
      <c r="G483" s="989">
        <v>2243.9499999999998</v>
      </c>
      <c r="H483" s="1409" t="s">
        <v>1213</v>
      </c>
    </row>
    <row r="484" spans="1:8" s="1343" customFormat="1" ht="22.5" customHeight="1" x14ac:dyDescent="0.2">
      <c r="A484" s="1378">
        <v>429</v>
      </c>
      <c r="B484" s="1379" t="s">
        <v>410</v>
      </c>
      <c r="C484" s="1354" t="s">
        <v>1206</v>
      </c>
      <c r="D484" s="1304" t="s">
        <v>1991</v>
      </c>
      <c r="E484" s="1380">
        <v>44551</v>
      </c>
      <c r="F484" s="1349" t="s">
        <v>1629</v>
      </c>
      <c r="G484" s="989">
        <v>0</v>
      </c>
      <c r="H484" s="1409" t="s">
        <v>1739</v>
      </c>
    </row>
    <row r="485" spans="1:8" s="1343" customFormat="1" ht="15" customHeight="1" x14ac:dyDescent="0.2">
      <c r="A485" s="1378">
        <v>430</v>
      </c>
      <c r="B485" s="1379" t="s">
        <v>410</v>
      </c>
      <c r="C485" s="1354" t="s">
        <v>1206</v>
      </c>
      <c r="D485" s="1304" t="s">
        <v>705</v>
      </c>
      <c r="E485" s="1380">
        <v>44551</v>
      </c>
      <c r="F485" s="1349" t="s">
        <v>1630</v>
      </c>
      <c r="G485" s="989">
        <v>0</v>
      </c>
      <c r="H485" s="1409" t="s">
        <v>1739</v>
      </c>
    </row>
    <row r="486" spans="1:8" s="1343" customFormat="1" ht="15" customHeight="1" x14ac:dyDescent="0.2">
      <c r="A486" s="1378">
        <v>431</v>
      </c>
      <c r="B486" s="1379" t="s">
        <v>410</v>
      </c>
      <c r="C486" s="1354" t="s">
        <v>1206</v>
      </c>
      <c r="D486" s="1304" t="s">
        <v>1938</v>
      </c>
      <c r="E486" s="1380">
        <v>44544</v>
      </c>
      <c r="F486" s="1349" t="s">
        <v>1631</v>
      </c>
      <c r="G486" s="989">
        <v>15</v>
      </c>
      <c r="H486" s="1409" t="s">
        <v>1258</v>
      </c>
    </row>
    <row r="487" spans="1:8" s="1343" customFormat="1" ht="22.5" customHeight="1" x14ac:dyDescent="0.2">
      <c r="A487" s="1383">
        <v>432</v>
      </c>
      <c r="B487" s="1384" t="s">
        <v>410</v>
      </c>
      <c r="C487" s="1354" t="s">
        <v>1206</v>
      </c>
      <c r="D487" s="1307" t="s">
        <v>1992</v>
      </c>
      <c r="E487" s="1385">
        <v>44544</v>
      </c>
      <c r="F487" s="1352" t="s">
        <v>1632</v>
      </c>
      <c r="G487" s="1386">
        <v>99474.02</v>
      </c>
      <c r="H487" s="1410" t="s">
        <v>1742</v>
      </c>
    </row>
    <row r="488" spans="1:8" s="1343" customFormat="1" ht="15" customHeight="1" x14ac:dyDescent="0.2">
      <c r="A488" s="1378">
        <v>433</v>
      </c>
      <c r="B488" s="1379" t="s">
        <v>410</v>
      </c>
      <c r="C488" s="1354" t="s">
        <v>1206</v>
      </c>
      <c r="D488" s="1305" t="s">
        <v>1977</v>
      </c>
      <c r="E488" s="1380">
        <v>44551</v>
      </c>
      <c r="F488" s="1349" t="s">
        <v>1633</v>
      </c>
      <c r="G488" s="989">
        <v>25</v>
      </c>
      <c r="H488" s="1409" t="s">
        <v>1745</v>
      </c>
    </row>
    <row r="489" spans="1:8" s="1343" customFormat="1" ht="15" customHeight="1" x14ac:dyDescent="0.2">
      <c r="A489" s="1378">
        <v>434</v>
      </c>
      <c r="B489" s="1379" t="s">
        <v>410</v>
      </c>
      <c r="C489" s="1354" t="s">
        <v>1206</v>
      </c>
      <c r="D489" s="1304" t="s">
        <v>1993</v>
      </c>
      <c r="E489" s="1380">
        <v>44544</v>
      </c>
      <c r="F489" s="1349" t="s">
        <v>1634</v>
      </c>
      <c r="G489" s="989">
        <v>-38.22</v>
      </c>
      <c r="H489" s="1409" t="s">
        <v>1860</v>
      </c>
    </row>
    <row r="490" spans="1:8" s="1343" customFormat="1" ht="15" customHeight="1" thickBot="1" x14ac:dyDescent="0.25">
      <c r="A490" s="1392">
        <v>435</v>
      </c>
      <c r="B490" s="1393" t="s">
        <v>410</v>
      </c>
      <c r="C490" s="1357" t="s">
        <v>1206</v>
      </c>
      <c r="D490" s="1394" t="s">
        <v>1753</v>
      </c>
      <c r="E490" s="1395">
        <v>44544</v>
      </c>
      <c r="F490" s="1396" t="s">
        <v>1635</v>
      </c>
      <c r="G490" s="1397">
        <v>0</v>
      </c>
      <c r="H490" s="1413" t="s">
        <v>1742</v>
      </c>
    </row>
    <row r="491" spans="1:8" s="1343" customFormat="1" ht="15" customHeight="1" x14ac:dyDescent="0.2">
      <c r="A491" s="961"/>
      <c r="B491" s="961"/>
      <c r="C491" s="961"/>
      <c r="D491" s="961"/>
      <c r="E491" s="961"/>
      <c r="F491" s="961"/>
      <c r="G491" s="961"/>
      <c r="H491" s="1333" t="s">
        <v>648</v>
      </c>
    </row>
    <row r="492" spans="1:8" ht="15.75" x14ac:dyDescent="0.2">
      <c r="C492" s="1845" t="s">
        <v>90</v>
      </c>
      <c r="D492" s="1845"/>
      <c r="E492" s="1845"/>
      <c r="F492" s="1845"/>
      <c r="G492" s="1845"/>
      <c r="H492" s="1845"/>
    </row>
    <row r="493" spans="1:8" x14ac:dyDescent="0.2">
      <c r="C493" s="1846" t="s">
        <v>1709</v>
      </c>
      <c r="D493" s="1846"/>
      <c r="E493" s="1846"/>
      <c r="F493" s="1846"/>
      <c r="G493" s="1846"/>
      <c r="H493" s="1846"/>
    </row>
    <row r="494" spans="1:8" s="1343" customFormat="1" ht="13.5" thickBot="1" x14ac:dyDescent="0.25">
      <c r="A494" s="1398"/>
      <c r="B494" s="1398"/>
      <c r="C494" s="1398"/>
      <c r="D494" s="1398"/>
      <c r="E494" s="1398"/>
      <c r="F494" s="1398"/>
      <c r="G494" s="1398"/>
      <c r="H494" s="1399"/>
    </row>
    <row r="495" spans="1:8" s="1343" customFormat="1" ht="34.5" customHeight="1" thickBot="1" x14ac:dyDescent="0.25">
      <c r="A495" s="1847" t="s">
        <v>6</v>
      </c>
      <c r="B495" s="1848"/>
      <c r="C495" s="1849"/>
      <c r="D495" s="1335" t="s">
        <v>7</v>
      </c>
      <c r="E495" s="1335" t="s">
        <v>638</v>
      </c>
      <c r="F495" s="1335" t="s">
        <v>138</v>
      </c>
      <c r="G495" s="1335" t="s">
        <v>140</v>
      </c>
      <c r="H495" s="1367" t="s">
        <v>139</v>
      </c>
    </row>
    <row r="496" spans="1:8" s="1343" customFormat="1" ht="15" customHeight="1" x14ac:dyDescent="0.2">
      <c r="A496" s="1383">
        <v>436</v>
      </c>
      <c r="B496" s="1384" t="s">
        <v>410</v>
      </c>
      <c r="C496" s="1354" t="s">
        <v>1206</v>
      </c>
      <c r="D496" s="1387" t="s">
        <v>1768</v>
      </c>
      <c r="E496" s="1385">
        <v>44544</v>
      </c>
      <c r="F496" s="1352" t="s">
        <v>1636</v>
      </c>
      <c r="G496" s="1386">
        <v>15.19</v>
      </c>
      <c r="H496" s="1409" t="s">
        <v>1211</v>
      </c>
    </row>
    <row r="497" spans="1:10" s="1343" customFormat="1" ht="15" customHeight="1" x14ac:dyDescent="0.2">
      <c r="A497" s="1378">
        <v>437</v>
      </c>
      <c r="B497" s="1384" t="s">
        <v>410</v>
      </c>
      <c r="C497" s="1354" t="s">
        <v>1206</v>
      </c>
      <c r="D497" s="1387" t="s">
        <v>1994</v>
      </c>
      <c r="E497" s="1385">
        <v>44544</v>
      </c>
      <c r="F497" s="1352" t="s">
        <v>1637</v>
      </c>
      <c r="G497" s="1386">
        <v>0</v>
      </c>
      <c r="H497" s="1409" t="s">
        <v>1213</v>
      </c>
      <c r="I497" s="961"/>
      <c r="J497" s="961"/>
    </row>
    <row r="498" spans="1:10" s="1343" customFormat="1" ht="15" customHeight="1" x14ac:dyDescent="0.2">
      <c r="A498" s="1383">
        <v>438</v>
      </c>
      <c r="B498" s="1384" t="s">
        <v>410</v>
      </c>
      <c r="C498" s="1354" t="s">
        <v>1206</v>
      </c>
      <c r="D498" s="1387" t="s">
        <v>1798</v>
      </c>
      <c r="E498" s="1385">
        <v>44544</v>
      </c>
      <c r="F498" s="1352" t="s">
        <v>1638</v>
      </c>
      <c r="G498" s="1386">
        <v>0</v>
      </c>
      <c r="H498" s="1409" t="s">
        <v>1860</v>
      </c>
    </row>
    <row r="499" spans="1:10" s="1343" customFormat="1" ht="15" customHeight="1" x14ac:dyDescent="0.2">
      <c r="A499" s="1383">
        <v>439</v>
      </c>
      <c r="B499" s="1384" t="s">
        <v>410</v>
      </c>
      <c r="C499" s="1354" t="s">
        <v>1206</v>
      </c>
      <c r="D499" s="1387" t="s">
        <v>1768</v>
      </c>
      <c r="E499" s="1385">
        <v>44550</v>
      </c>
      <c r="F499" s="1352" t="s">
        <v>1639</v>
      </c>
      <c r="G499" s="1386">
        <v>0.48</v>
      </c>
      <c r="H499" s="1409" t="s">
        <v>1211</v>
      </c>
    </row>
    <row r="500" spans="1:10" s="1343" customFormat="1" ht="15" customHeight="1" x14ac:dyDescent="0.2">
      <c r="A500" s="1378">
        <v>440</v>
      </c>
      <c r="B500" s="1384" t="s">
        <v>410</v>
      </c>
      <c r="C500" s="1354" t="s">
        <v>1206</v>
      </c>
      <c r="D500" s="1387" t="s">
        <v>1995</v>
      </c>
      <c r="E500" s="1385">
        <v>44550</v>
      </c>
      <c r="F500" s="1352" t="s">
        <v>1640</v>
      </c>
      <c r="G500" s="1386">
        <v>0</v>
      </c>
      <c r="H500" s="1409" t="s">
        <v>1211</v>
      </c>
    </row>
    <row r="501" spans="1:10" s="1343" customFormat="1" ht="15" customHeight="1" x14ac:dyDescent="0.2">
      <c r="A501" s="1383">
        <v>441</v>
      </c>
      <c r="B501" s="1384" t="s">
        <v>410</v>
      </c>
      <c r="C501" s="1354" t="s">
        <v>1206</v>
      </c>
      <c r="D501" s="1387" t="s">
        <v>1996</v>
      </c>
      <c r="E501" s="1385">
        <v>44561</v>
      </c>
      <c r="F501" s="1352" t="s">
        <v>1641</v>
      </c>
      <c r="G501" s="1386">
        <v>-260.75</v>
      </c>
      <c r="H501" s="1409" t="s">
        <v>1211</v>
      </c>
    </row>
    <row r="502" spans="1:10" s="1343" customFormat="1" ht="22.5" x14ac:dyDescent="0.2">
      <c r="A502" s="1383">
        <v>442</v>
      </c>
      <c r="B502" s="1384" t="s">
        <v>410</v>
      </c>
      <c r="C502" s="1354" t="s">
        <v>1206</v>
      </c>
      <c r="D502" s="1387" t="s">
        <v>744</v>
      </c>
      <c r="E502" s="1385">
        <v>44561</v>
      </c>
      <c r="F502" s="1352" t="s">
        <v>1641</v>
      </c>
      <c r="G502" s="1386">
        <v>3033.8</v>
      </c>
      <c r="H502" s="1409" t="s">
        <v>1211</v>
      </c>
    </row>
    <row r="503" spans="1:10" s="1343" customFormat="1" ht="15" customHeight="1" x14ac:dyDescent="0.2">
      <c r="A503" s="1378">
        <v>443</v>
      </c>
      <c r="B503" s="1384" t="s">
        <v>410</v>
      </c>
      <c r="C503" s="1354" t="s">
        <v>1206</v>
      </c>
      <c r="D503" s="1387" t="s">
        <v>1997</v>
      </c>
      <c r="E503" s="1385">
        <v>44561</v>
      </c>
      <c r="F503" s="1352" t="s">
        <v>1641</v>
      </c>
      <c r="G503" s="1386">
        <v>82744.710000000006</v>
      </c>
      <c r="H503" s="1409" t="s">
        <v>1774</v>
      </c>
    </row>
    <row r="504" spans="1:10" s="1343" customFormat="1" ht="15" customHeight="1" x14ac:dyDescent="0.2">
      <c r="A504" s="1383">
        <v>444</v>
      </c>
      <c r="B504" s="1384" t="s">
        <v>410</v>
      </c>
      <c r="C504" s="1354" t="s">
        <v>1206</v>
      </c>
      <c r="D504" s="1387" t="s">
        <v>411</v>
      </c>
      <c r="E504" s="1385">
        <v>44561</v>
      </c>
      <c r="F504" s="1352" t="s">
        <v>1641</v>
      </c>
      <c r="G504" s="1386">
        <v>9</v>
      </c>
      <c r="H504" s="1409" t="s">
        <v>1745</v>
      </c>
    </row>
    <row r="505" spans="1:10" s="1343" customFormat="1" ht="15" customHeight="1" x14ac:dyDescent="0.2">
      <c r="A505" s="1383">
        <v>445</v>
      </c>
      <c r="B505" s="1384" t="s">
        <v>410</v>
      </c>
      <c r="C505" s="1354" t="s">
        <v>1206</v>
      </c>
      <c r="D505" s="1387" t="s">
        <v>1998</v>
      </c>
      <c r="E505" s="1385">
        <v>44561</v>
      </c>
      <c r="F505" s="1352" t="s">
        <v>1641</v>
      </c>
      <c r="G505" s="1386">
        <v>-1882.43</v>
      </c>
      <c r="H505" s="1409" t="s">
        <v>1860</v>
      </c>
    </row>
    <row r="506" spans="1:10" s="1343" customFormat="1" ht="15" customHeight="1" thickBot="1" x14ac:dyDescent="0.25">
      <c r="A506" s="1388">
        <v>446</v>
      </c>
      <c r="B506" s="1393" t="s">
        <v>410</v>
      </c>
      <c r="C506" s="1357" t="s">
        <v>1206</v>
      </c>
      <c r="D506" s="1394" t="s">
        <v>1998</v>
      </c>
      <c r="E506" s="1395">
        <v>44561</v>
      </c>
      <c r="F506" s="1396" t="s">
        <v>1641</v>
      </c>
      <c r="G506" s="1397">
        <v>-2154.85</v>
      </c>
      <c r="H506" s="1411" t="s">
        <v>1860</v>
      </c>
    </row>
    <row r="507" spans="1:10" s="1343" customFormat="1" ht="15" customHeight="1" thickBot="1" x14ac:dyDescent="0.25">
      <c r="A507" s="1841" t="s">
        <v>1708</v>
      </c>
      <c r="B507" s="1842"/>
      <c r="C507" s="1842"/>
      <c r="D507" s="1842"/>
      <c r="E507" s="1843"/>
      <c r="F507" s="1844">
        <f>SUM(G6:G506)</f>
        <v>11677510.120000005</v>
      </c>
      <c r="G507" s="1844"/>
      <c r="H507" s="1400" t="s">
        <v>650</v>
      </c>
    </row>
    <row r="508" spans="1:10" s="1343" customFormat="1" ht="15" customHeight="1" x14ac:dyDescent="0.2">
      <c r="H508" s="1366"/>
    </row>
    <row r="509" spans="1:10" s="1401" customFormat="1" ht="21" customHeight="1" x14ac:dyDescent="0.2">
      <c r="A509" s="1343"/>
      <c r="B509" s="1343"/>
      <c r="C509" s="1343"/>
      <c r="D509" s="1343"/>
      <c r="E509" s="1343"/>
      <c r="F509" s="1343"/>
      <c r="G509" s="1343"/>
      <c r="H509" s="1366"/>
    </row>
    <row r="510" spans="1:10" s="1343" customFormat="1" ht="15" customHeight="1" x14ac:dyDescent="0.2">
      <c r="A510" s="1366"/>
      <c r="B510" s="1402"/>
      <c r="C510" s="1362"/>
      <c r="D510" s="1403"/>
      <c r="E510" s="1404"/>
      <c r="F510" s="1364"/>
      <c r="G510" s="1405"/>
      <c r="H510" s="1374"/>
    </row>
    <row r="512" spans="1:10" x14ac:dyDescent="0.2">
      <c r="G512" s="1405"/>
    </row>
    <row r="513" spans="8:8" x14ac:dyDescent="0.2">
      <c r="H513" s="961"/>
    </row>
    <row r="514" spans="8:8" s="1343" customFormat="1" ht="11.25" x14ac:dyDescent="0.2"/>
    <row r="515" spans="8:8" s="1343" customFormat="1" ht="11.25" x14ac:dyDescent="0.2"/>
    <row r="516" spans="8:8" s="1343" customFormat="1" ht="11.25" x14ac:dyDescent="0.2"/>
    <row r="517" spans="8:8" s="1343" customFormat="1" ht="11.25" x14ac:dyDescent="0.2">
      <c r="H517" s="1366"/>
    </row>
    <row r="518" spans="8:8" s="1343" customFormat="1" ht="11.25" x14ac:dyDescent="0.2">
      <c r="H518" s="1366"/>
    </row>
    <row r="519" spans="8:8" s="1343" customFormat="1" ht="11.25" x14ac:dyDescent="0.2">
      <c r="H519" s="1366"/>
    </row>
    <row r="520" spans="8:8" s="1343" customFormat="1" ht="11.25" x14ac:dyDescent="0.2">
      <c r="H520" s="1366"/>
    </row>
    <row r="521" spans="8:8" s="1343" customFormat="1" ht="11.25" x14ac:dyDescent="0.2">
      <c r="H521" s="1366"/>
    </row>
    <row r="522" spans="8:8" s="1343" customFormat="1" ht="11.25" x14ac:dyDescent="0.2">
      <c r="H522" s="1366"/>
    </row>
    <row r="523" spans="8:8" s="1343" customFormat="1" ht="11.25" x14ac:dyDescent="0.2">
      <c r="H523" s="1366"/>
    </row>
    <row r="524" spans="8:8" s="1343" customFormat="1" ht="11.25" x14ac:dyDescent="0.2">
      <c r="H524" s="1366"/>
    </row>
    <row r="525" spans="8:8" s="1343" customFormat="1" ht="11.25" x14ac:dyDescent="0.2">
      <c r="H525" s="1366"/>
    </row>
    <row r="526" spans="8:8" s="1343" customFormat="1" ht="11.25" x14ac:dyDescent="0.2">
      <c r="H526" s="1366"/>
    </row>
    <row r="527" spans="8:8" s="1343" customFormat="1" ht="11.25" x14ac:dyDescent="0.2">
      <c r="H527" s="1366"/>
    </row>
    <row r="528" spans="8:8" s="1343" customFormat="1" ht="11.25" x14ac:dyDescent="0.2">
      <c r="H528" s="1366"/>
    </row>
    <row r="529" spans="8:8" s="1343" customFormat="1" ht="11.25" x14ac:dyDescent="0.2">
      <c r="H529" s="1366"/>
    </row>
    <row r="530" spans="8:8" s="1343" customFormat="1" ht="11.25" x14ac:dyDescent="0.2">
      <c r="H530" s="1366"/>
    </row>
    <row r="531" spans="8:8" s="1343" customFormat="1" ht="11.25" x14ac:dyDescent="0.2">
      <c r="H531" s="1366"/>
    </row>
    <row r="532" spans="8:8" s="1343" customFormat="1" ht="11.25" x14ac:dyDescent="0.2">
      <c r="H532" s="1366"/>
    </row>
    <row r="533" spans="8:8" s="1343" customFormat="1" ht="11.25" x14ac:dyDescent="0.2">
      <c r="H533" s="1366"/>
    </row>
    <row r="534" spans="8:8" s="1343" customFormat="1" ht="11.25" x14ac:dyDescent="0.2">
      <c r="H534" s="1366"/>
    </row>
    <row r="535" spans="8:8" s="1343" customFormat="1" ht="11.25" x14ac:dyDescent="0.2">
      <c r="H535" s="1366"/>
    </row>
    <row r="536" spans="8:8" s="1343" customFormat="1" ht="11.25" x14ac:dyDescent="0.2">
      <c r="H536" s="1366"/>
    </row>
    <row r="537" spans="8:8" s="1343" customFormat="1" ht="11.25" x14ac:dyDescent="0.2">
      <c r="H537" s="1366"/>
    </row>
    <row r="538" spans="8:8" s="1343" customFormat="1" ht="11.25" x14ac:dyDescent="0.2">
      <c r="H538" s="1366"/>
    </row>
    <row r="539" spans="8:8" s="1343" customFormat="1" ht="11.25" x14ac:dyDescent="0.2">
      <c r="H539" s="1366"/>
    </row>
    <row r="540" spans="8:8" s="1343" customFormat="1" ht="11.25" x14ac:dyDescent="0.2">
      <c r="H540" s="1366"/>
    </row>
    <row r="541" spans="8:8" s="1343" customFormat="1" ht="11.25" x14ac:dyDescent="0.2">
      <c r="H541" s="1366"/>
    </row>
    <row r="542" spans="8:8" s="1343" customFormat="1" ht="11.25" x14ac:dyDescent="0.2">
      <c r="H542" s="1366"/>
    </row>
    <row r="543" spans="8:8" s="1343" customFormat="1" ht="11.25" x14ac:dyDescent="0.2">
      <c r="H543" s="1366"/>
    </row>
    <row r="544" spans="8:8" s="1343" customFormat="1" ht="11.25" x14ac:dyDescent="0.2">
      <c r="H544" s="1366"/>
    </row>
    <row r="545" spans="8:8" s="1343" customFormat="1" ht="11.25" x14ac:dyDescent="0.2">
      <c r="H545" s="1366"/>
    </row>
    <row r="546" spans="8:8" s="1343" customFormat="1" ht="11.25" x14ac:dyDescent="0.2">
      <c r="H546" s="1366"/>
    </row>
    <row r="547" spans="8:8" s="1343" customFormat="1" ht="11.25" x14ac:dyDescent="0.2">
      <c r="H547" s="1366"/>
    </row>
    <row r="548" spans="8:8" s="1343" customFormat="1" ht="11.25" x14ac:dyDescent="0.2">
      <c r="H548" s="1366"/>
    </row>
    <row r="549" spans="8:8" s="1343" customFormat="1" ht="11.25" x14ac:dyDescent="0.2">
      <c r="H549" s="1366"/>
    </row>
    <row r="550" spans="8:8" s="1343" customFormat="1" ht="11.25" x14ac:dyDescent="0.2">
      <c r="H550" s="1366"/>
    </row>
    <row r="551" spans="8:8" s="1343" customFormat="1" ht="11.25" x14ac:dyDescent="0.2">
      <c r="H551" s="1366"/>
    </row>
    <row r="552" spans="8:8" s="1343" customFormat="1" ht="11.25" x14ac:dyDescent="0.2">
      <c r="H552" s="1366"/>
    </row>
    <row r="553" spans="8:8" s="1343" customFormat="1" ht="11.25" x14ac:dyDescent="0.2">
      <c r="H553" s="1366"/>
    </row>
    <row r="554" spans="8:8" s="1343" customFormat="1" ht="11.25" x14ac:dyDescent="0.2">
      <c r="H554" s="1366"/>
    </row>
    <row r="555" spans="8:8" s="1343" customFormat="1" ht="11.25" x14ac:dyDescent="0.2">
      <c r="H555" s="1366"/>
    </row>
    <row r="556" spans="8:8" s="1343" customFormat="1" ht="11.25" x14ac:dyDescent="0.2">
      <c r="H556" s="1366"/>
    </row>
    <row r="557" spans="8:8" s="1343" customFormat="1" ht="11.25" x14ac:dyDescent="0.2">
      <c r="H557" s="1366"/>
    </row>
    <row r="558" spans="8:8" s="1343" customFormat="1" ht="11.25" x14ac:dyDescent="0.2">
      <c r="H558" s="1366"/>
    </row>
    <row r="559" spans="8:8" s="1343" customFormat="1" ht="11.25" x14ac:dyDescent="0.2">
      <c r="H559" s="1366"/>
    </row>
    <row r="560" spans="8:8" s="1343" customFormat="1" ht="11.25" x14ac:dyDescent="0.2">
      <c r="H560" s="1366"/>
    </row>
    <row r="561" spans="8:8" s="1343" customFormat="1" ht="11.25" x14ac:dyDescent="0.2">
      <c r="H561" s="1366"/>
    </row>
    <row r="562" spans="8:8" s="1343" customFormat="1" ht="11.25" x14ac:dyDescent="0.2">
      <c r="H562" s="1366"/>
    </row>
    <row r="563" spans="8:8" s="1343" customFormat="1" ht="11.25" x14ac:dyDescent="0.2">
      <c r="H563" s="1366"/>
    </row>
    <row r="564" spans="8:8" s="1343" customFormat="1" ht="11.25" x14ac:dyDescent="0.2">
      <c r="H564" s="1366"/>
    </row>
    <row r="565" spans="8:8" s="1343" customFormat="1" ht="11.25" x14ac:dyDescent="0.2">
      <c r="H565" s="1366"/>
    </row>
    <row r="566" spans="8:8" s="1343" customFormat="1" ht="11.25" x14ac:dyDescent="0.2">
      <c r="H566" s="1366"/>
    </row>
    <row r="567" spans="8:8" s="1343" customFormat="1" ht="11.25" x14ac:dyDescent="0.2">
      <c r="H567" s="1366"/>
    </row>
    <row r="568" spans="8:8" s="1343" customFormat="1" ht="11.25" x14ac:dyDescent="0.2">
      <c r="H568" s="1366"/>
    </row>
    <row r="569" spans="8:8" s="1343" customFormat="1" ht="11.25" x14ac:dyDescent="0.2">
      <c r="H569" s="1366"/>
    </row>
    <row r="570" spans="8:8" s="1343" customFormat="1" ht="11.25" x14ac:dyDescent="0.2">
      <c r="H570" s="1366"/>
    </row>
    <row r="571" spans="8:8" s="1343" customFormat="1" ht="11.25" x14ac:dyDescent="0.2">
      <c r="H571" s="1366"/>
    </row>
    <row r="572" spans="8:8" s="1343" customFormat="1" ht="11.25" x14ac:dyDescent="0.2">
      <c r="H572" s="1366"/>
    </row>
    <row r="573" spans="8:8" s="1343" customFormat="1" ht="11.25" x14ac:dyDescent="0.2">
      <c r="H573" s="1366"/>
    </row>
    <row r="574" spans="8:8" s="1343" customFormat="1" ht="11.25" x14ac:dyDescent="0.2">
      <c r="H574" s="1366"/>
    </row>
    <row r="575" spans="8:8" s="1343" customFormat="1" ht="11.25" x14ac:dyDescent="0.2">
      <c r="H575" s="1366"/>
    </row>
    <row r="576" spans="8:8" s="1343" customFormat="1" ht="11.25" x14ac:dyDescent="0.2">
      <c r="H576" s="1366"/>
    </row>
    <row r="577" spans="8:8" s="1343" customFormat="1" ht="11.25" x14ac:dyDescent="0.2">
      <c r="H577" s="1366"/>
    </row>
    <row r="578" spans="8:8" s="1343" customFormat="1" ht="11.25" x14ac:dyDescent="0.2">
      <c r="H578" s="1366"/>
    </row>
    <row r="579" spans="8:8" s="1343" customFormat="1" ht="11.25" x14ac:dyDescent="0.2">
      <c r="H579" s="1366"/>
    </row>
    <row r="580" spans="8:8" s="1343" customFormat="1" ht="11.25" x14ac:dyDescent="0.2">
      <c r="H580" s="1366"/>
    </row>
    <row r="581" spans="8:8" s="1343" customFormat="1" ht="11.25" x14ac:dyDescent="0.2">
      <c r="H581" s="1366"/>
    </row>
    <row r="582" spans="8:8" s="1343" customFormat="1" ht="11.25" x14ac:dyDescent="0.2">
      <c r="H582" s="1366"/>
    </row>
    <row r="583" spans="8:8" s="1343" customFormat="1" ht="11.25" x14ac:dyDescent="0.2">
      <c r="H583" s="1366"/>
    </row>
    <row r="584" spans="8:8" s="1343" customFormat="1" ht="11.25" x14ac:dyDescent="0.2">
      <c r="H584" s="1366"/>
    </row>
    <row r="585" spans="8:8" s="1343" customFormat="1" ht="11.25" x14ac:dyDescent="0.2">
      <c r="H585" s="1366"/>
    </row>
    <row r="586" spans="8:8" s="1343" customFormat="1" ht="11.25" x14ac:dyDescent="0.2">
      <c r="H586" s="1366"/>
    </row>
    <row r="587" spans="8:8" s="1343" customFormat="1" ht="11.25" x14ac:dyDescent="0.2">
      <c r="H587" s="1366"/>
    </row>
    <row r="588" spans="8:8" s="1343" customFormat="1" ht="11.25" x14ac:dyDescent="0.2">
      <c r="H588" s="1366"/>
    </row>
    <row r="589" spans="8:8" s="1343" customFormat="1" ht="11.25" x14ac:dyDescent="0.2">
      <c r="H589" s="1366"/>
    </row>
    <row r="590" spans="8:8" s="1343" customFormat="1" ht="11.25" x14ac:dyDescent="0.2">
      <c r="H590" s="1366"/>
    </row>
    <row r="591" spans="8:8" s="1343" customFormat="1" ht="11.25" x14ac:dyDescent="0.2">
      <c r="H591" s="1366"/>
    </row>
    <row r="592" spans="8:8" s="1343" customFormat="1" ht="11.25" x14ac:dyDescent="0.2">
      <c r="H592" s="1366"/>
    </row>
    <row r="593" spans="8:8" s="1343" customFormat="1" ht="11.25" x14ac:dyDescent="0.2">
      <c r="H593" s="1366"/>
    </row>
    <row r="594" spans="8:8" s="1343" customFormat="1" ht="11.25" x14ac:dyDescent="0.2">
      <c r="H594" s="1366"/>
    </row>
    <row r="595" spans="8:8" s="1343" customFormat="1" ht="11.25" x14ac:dyDescent="0.2">
      <c r="H595" s="1366"/>
    </row>
    <row r="596" spans="8:8" s="1343" customFormat="1" ht="11.25" x14ac:dyDescent="0.2">
      <c r="H596" s="1366"/>
    </row>
    <row r="597" spans="8:8" s="1343" customFormat="1" ht="11.25" x14ac:dyDescent="0.2">
      <c r="H597" s="1366"/>
    </row>
    <row r="598" spans="8:8" s="1343" customFormat="1" ht="11.25" x14ac:dyDescent="0.2">
      <c r="H598" s="1366"/>
    </row>
    <row r="599" spans="8:8" s="1343" customFormat="1" ht="11.25" x14ac:dyDescent="0.2">
      <c r="H599" s="1366"/>
    </row>
    <row r="600" spans="8:8" s="1343" customFormat="1" ht="11.25" x14ac:dyDescent="0.2">
      <c r="H600" s="1366"/>
    </row>
    <row r="601" spans="8:8" s="1343" customFormat="1" ht="11.25" x14ac:dyDescent="0.2">
      <c r="H601" s="1366"/>
    </row>
    <row r="602" spans="8:8" s="1343" customFormat="1" ht="11.25" x14ac:dyDescent="0.2">
      <c r="H602" s="1366"/>
    </row>
    <row r="603" spans="8:8" s="1343" customFormat="1" ht="11.25" x14ac:dyDescent="0.2">
      <c r="H603" s="1366"/>
    </row>
    <row r="604" spans="8:8" s="1343" customFormat="1" ht="11.25" x14ac:dyDescent="0.2">
      <c r="H604" s="1366"/>
    </row>
    <row r="605" spans="8:8" s="1343" customFormat="1" ht="11.25" x14ac:dyDescent="0.2">
      <c r="H605" s="1366"/>
    </row>
    <row r="606" spans="8:8" s="1343" customFormat="1" ht="11.25" x14ac:dyDescent="0.2">
      <c r="H606" s="1366"/>
    </row>
    <row r="607" spans="8:8" s="1343" customFormat="1" ht="11.25" x14ac:dyDescent="0.2">
      <c r="H607" s="1366"/>
    </row>
    <row r="608" spans="8:8" s="1343" customFormat="1" ht="11.25" x14ac:dyDescent="0.2">
      <c r="H608" s="1366"/>
    </row>
    <row r="609" spans="8:10" s="1343" customFormat="1" ht="11.25" x14ac:dyDescent="0.2">
      <c r="H609" s="1366"/>
    </row>
    <row r="610" spans="8:10" s="1343" customFormat="1" ht="11.25" x14ac:dyDescent="0.2">
      <c r="H610" s="1366"/>
    </row>
    <row r="611" spans="8:10" s="1343" customFormat="1" ht="11.25" x14ac:dyDescent="0.2">
      <c r="H611" s="1366"/>
    </row>
    <row r="612" spans="8:10" s="1343" customFormat="1" ht="11.25" x14ac:dyDescent="0.2">
      <c r="H612" s="1366"/>
    </row>
    <row r="613" spans="8:10" s="1343" customFormat="1" ht="11.25" x14ac:dyDescent="0.2">
      <c r="H613" s="1366"/>
    </row>
    <row r="614" spans="8:10" s="1343" customFormat="1" ht="11.25" x14ac:dyDescent="0.2">
      <c r="H614" s="1366"/>
    </row>
    <row r="615" spans="8:10" s="1343" customFormat="1" ht="11.25" x14ac:dyDescent="0.2">
      <c r="H615" s="1366"/>
    </row>
    <row r="616" spans="8:10" s="1343" customFormat="1" ht="11.25" x14ac:dyDescent="0.2">
      <c r="H616" s="1366"/>
    </row>
    <row r="617" spans="8:10" s="1343" customFormat="1" ht="11.25" x14ac:dyDescent="0.2">
      <c r="H617" s="1366"/>
    </row>
    <row r="618" spans="8:10" s="1343" customFormat="1" x14ac:dyDescent="0.2">
      <c r="H618" s="1366"/>
      <c r="I618" s="961"/>
      <c r="J618" s="961"/>
    </row>
    <row r="619" spans="8:10" s="1343" customFormat="1" x14ac:dyDescent="0.2">
      <c r="H619" s="1366"/>
      <c r="I619" s="961"/>
      <c r="J619" s="961"/>
    </row>
    <row r="620" spans="8:10" s="1343" customFormat="1" x14ac:dyDescent="0.2">
      <c r="H620" s="1366"/>
      <c r="I620" s="961"/>
      <c r="J620" s="961"/>
    </row>
    <row r="621" spans="8:10" s="1343" customFormat="1" x14ac:dyDescent="0.2">
      <c r="H621" s="1366"/>
      <c r="I621" s="961"/>
      <c r="J621" s="961"/>
    </row>
    <row r="622" spans="8:10" s="1343" customFormat="1" x14ac:dyDescent="0.2">
      <c r="H622" s="1366"/>
      <c r="I622" s="961"/>
      <c r="J622" s="961"/>
    </row>
    <row r="623" spans="8:10" s="1343" customFormat="1" x14ac:dyDescent="0.2">
      <c r="H623" s="1366"/>
      <c r="I623" s="961"/>
      <c r="J623" s="961"/>
    </row>
    <row r="624" spans="8:10" s="1343" customFormat="1" x14ac:dyDescent="0.2">
      <c r="H624" s="1366"/>
      <c r="I624" s="961"/>
      <c r="J624" s="961"/>
    </row>
    <row r="625" spans="8:10" s="1343" customFormat="1" x14ac:dyDescent="0.2">
      <c r="H625" s="1366"/>
      <c r="I625" s="961"/>
      <c r="J625" s="961"/>
    </row>
    <row r="626" spans="8:10" s="1343" customFormat="1" x14ac:dyDescent="0.2">
      <c r="H626" s="1366"/>
      <c r="I626" s="961"/>
      <c r="J626" s="961"/>
    </row>
    <row r="627" spans="8:10" s="1343" customFormat="1" x14ac:dyDescent="0.2">
      <c r="H627" s="1366"/>
      <c r="I627" s="961"/>
      <c r="J627" s="961"/>
    </row>
    <row r="628" spans="8:10" s="1343" customFormat="1" x14ac:dyDescent="0.2">
      <c r="H628" s="1366"/>
      <c r="I628" s="961"/>
      <c r="J628" s="961"/>
    </row>
    <row r="629" spans="8:10" s="1343" customFormat="1" x14ac:dyDescent="0.2">
      <c r="H629" s="1366"/>
      <c r="I629" s="961"/>
      <c r="J629" s="961"/>
    </row>
    <row r="630" spans="8:10" s="1343" customFormat="1" x14ac:dyDescent="0.2">
      <c r="H630" s="1366"/>
      <c r="I630" s="961"/>
      <c r="J630" s="961"/>
    </row>
    <row r="631" spans="8:10" s="1343" customFormat="1" x14ac:dyDescent="0.2">
      <c r="H631" s="1366"/>
      <c r="I631" s="961"/>
      <c r="J631" s="961"/>
    </row>
    <row r="632" spans="8:10" s="1343" customFormat="1" x14ac:dyDescent="0.2">
      <c r="H632" s="1366"/>
      <c r="I632" s="961"/>
      <c r="J632" s="961"/>
    </row>
    <row r="633" spans="8:10" s="1343" customFormat="1" x14ac:dyDescent="0.2">
      <c r="H633" s="1366"/>
      <c r="I633" s="961"/>
      <c r="J633" s="961"/>
    </row>
    <row r="634" spans="8:10" s="1343" customFormat="1" x14ac:dyDescent="0.2">
      <c r="H634" s="1366"/>
      <c r="I634" s="961"/>
      <c r="J634" s="961"/>
    </row>
    <row r="635" spans="8:10" s="1343" customFormat="1" x14ac:dyDescent="0.2">
      <c r="H635" s="1366"/>
      <c r="I635" s="961"/>
      <c r="J635" s="961"/>
    </row>
    <row r="636" spans="8:10" s="1343" customFormat="1" x14ac:dyDescent="0.2">
      <c r="H636" s="1366"/>
      <c r="I636" s="961"/>
      <c r="J636" s="961"/>
    </row>
    <row r="637" spans="8:10" s="1343" customFormat="1" x14ac:dyDescent="0.2">
      <c r="H637" s="1366"/>
      <c r="I637" s="961"/>
      <c r="J637" s="961"/>
    </row>
    <row r="638" spans="8:10" s="1343" customFormat="1" x14ac:dyDescent="0.2">
      <c r="H638" s="1366"/>
      <c r="I638" s="961"/>
      <c r="J638" s="961"/>
    </row>
    <row r="639" spans="8:10" s="1343" customFormat="1" x14ac:dyDescent="0.2">
      <c r="H639" s="1366"/>
      <c r="I639" s="961"/>
      <c r="J639" s="961"/>
    </row>
    <row r="640" spans="8:10" s="1343" customFormat="1" x14ac:dyDescent="0.2">
      <c r="H640" s="1366"/>
      <c r="I640" s="961"/>
      <c r="J640" s="961"/>
    </row>
    <row r="641" spans="8:10" s="1343" customFormat="1" x14ac:dyDescent="0.2">
      <c r="H641" s="1366"/>
      <c r="I641" s="961"/>
      <c r="J641" s="961"/>
    </row>
    <row r="642" spans="8:10" s="1343" customFormat="1" x14ac:dyDescent="0.2">
      <c r="H642" s="1366"/>
      <c r="I642" s="961"/>
      <c r="J642" s="961"/>
    </row>
    <row r="643" spans="8:10" s="1343" customFormat="1" x14ac:dyDescent="0.2">
      <c r="H643" s="1366"/>
      <c r="I643" s="961"/>
      <c r="J643" s="961"/>
    </row>
    <row r="644" spans="8:10" s="1343" customFormat="1" x14ac:dyDescent="0.2">
      <c r="H644" s="1366"/>
      <c r="I644" s="961"/>
      <c r="J644" s="961"/>
    </row>
    <row r="645" spans="8:10" s="1343" customFormat="1" x14ac:dyDescent="0.2">
      <c r="H645" s="1366"/>
      <c r="I645" s="961"/>
      <c r="J645" s="961"/>
    </row>
    <row r="646" spans="8:10" s="1343" customFormat="1" x14ac:dyDescent="0.2">
      <c r="H646" s="1366"/>
      <c r="I646" s="961"/>
      <c r="J646" s="961"/>
    </row>
    <row r="647" spans="8:10" s="1343" customFormat="1" x14ac:dyDescent="0.2">
      <c r="H647" s="1366"/>
      <c r="I647" s="961"/>
      <c r="J647" s="961"/>
    </row>
    <row r="648" spans="8:10" s="1343" customFormat="1" x14ac:dyDescent="0.2">
      <c r="H648" s="1366"/>
      <c r="I648" s="961"/>
      <c r="J648" s="961"/>
    </row>
  </sheetData>
  <mergeCells count="32">
    <mergeCell ref="A165:C165"/>
    <mergeCell ref="C2:H2"/>
    <mergeCell ref="C3:H3"/>
    <mergeCell ref="A5:C5"/>
    <mergeCell ref="C55:H55"/>
    <mergeCell ref="C56:H56"/>
    <mergeCell ref="A58:C58"/>
    <mergeCell ref="C109:H109"/>
    <mergeCell ref="C110:H110"/>
    <mergeCell ref="A112:C112"/>
    <mergeCell ref="C162:H162"/>
    <mergeCell ref="C163:H163"/>
    <mergeCell ref="A385:C385"/>
    <mergeCell ref="C216:H216"/>
    <mergeCell ref="C217:H217"/>
    <mergeCell ref="A219:C219"/>
    <mergeCell ref="C271:H271"/>
    <mergeCell ref="C272:H272"/>
    <mergeCell ref="A274:C274"/>
    <mergeCell ref="C326:H326"/>
    <mergeCell ref="C327:H327"/>
    <mergeCell ref="A329:C329"/>
    <mergeCell ref="C382:H382"/>
    <mergeCell ref="C383:H383"/>
    <mergeCell ref="A507:E507"/>
    <mergeCell ref="F507:G507"/>
    <mergeCell ref="C437:H437"/>
    <mergeCell ref="C438:H438"/>
    <mergeCell ref="A440:C440"/>
    <mergeCell ref="C492:H492"/>
    <mergeCell ref="C493:H493"/>
    <mergeCell ref="A495:C495"/>
  </mergeCells>
  <pageMargins left="0.70866141732283472" right="0.70866141732283472" top="0.59055118110236227" bottom="0.59055118110236227" header="0.31496062992125984" footer="0.31496062992125984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Q92"/>
  <sheetViews>
    <sheetView workbookViewId="0">
      <selection activeCell="L32" sqref="L32"/>
    </sheetView>
  </sheetViews>
  <sheetFormatPr defaultRowHeight="12.75" x14ac:dyDescent="0.2"/>
  <cols>
    <col min="1" max="1" width="5.140625" style="384" customWidth="1"/>
    <col min="2" max="2" width="5.5703125" style="384" customWidth="1"/>
    <col min="3" max="3" width="20.28515625" style="384" customWidth="1"/>
    <col min="4" max="4" width="22.85546875" style="384" customWidth="1"/>
    <col min="5" max="5" width="10.140625" style="343" customWidth="1"/>
    <col min="6" max="6" width="13.5703125" style="343" bestFit="1" customWidth="1"/>
    <col min="7" max="7" width="10.85546875" style="343" bestFit="1" customWidth="1"/>
    <col min="8" max="8" width="9.140625" style="343" customWidth="1"/>
    <col min="9" max="9" width="9.140625" style="384"/>
    <col min="10" max="10" width="14.85546875" style="384" bestFit="1" customWidth="1"/>
    <col min="11" max="11" width="27.5703125" style="384" customWidth="1"/>
    <col min="12" max="12" width="13.85546875" style="384" bestFit="1" customWidth="1"/>
    <col min="13" max="13" width="11.28515625" style="384" bestFit="1" customWidth="1"/>
    <col min="14" max="14" width="15" style="384" bestFit="1" customWidth="1"/>
    <col min="15" max="16384" width="9.140625" style="384"/>
  </cols>
  <sheetData>
    <row r="1" spans="1:15" s="346" customFormat="1" x14ac:dyDescent="0.2">
      <c r="A1" s="343"/>
      <c r="B1" s="343"/>
      <c r="C1" s="343"/>
      <c r="D1" s="343"/>
      <c r="E1" s="343"/>
      <c r="F1" s="344"/>
      <c r="G1" s="345"/>
      <c r="H1" s="457" t="s">
        <v>3</v>
      </c>
    </row>
    <row r="2" spans="1:15" s="346" customFormat="1" ht="9.9499999999999993" customHeight="1" x14ac:dyDescent="0.2">
      <c r="A2" s="343"/>
      <c r="B2" s="343"/>
      <c r="C2" s="343"/>
      <c r="D2" s="343"/>
      <c r="E2" s="343"/>
      <c r="F2" s="347"/>
      <c r="G2" s="348"/>
      <c r="H2" s="349"/>
    </row>
    <row r="3" spans="1:15" s="346" customFormat="1" ht="15.75" x14ac:dyDescent="0.25">
      <c r="A3" s="1853" t="s">
        <v>851</v>
      </c>
      <c r="B3" s="1853"/>
      <c r="C3" s="1853"/>
      <c r="D3" s="1853"/>
      <c r="E3" s="1853"/>
      <c r="F3" s="1853"/>
      <c r="G3" s="1853"/>
      <c r="H3" s="1853"/>
      <c r="J3" s="1309"/>
    </row>
    <row r="4" spans="1:15" s="346" customFormat="1" ht="9.9499999999999993" customHeight="1" x14ac:dyDescent="0.2">
      <c r="A4" s="343"/>
      <c r="B4" s="343"/>
      <c r="C4" s="343"/>
      <c r="D4" s="343"/>
      <c r="E4" s="343"/>
      <c r="F4" s="343"/>
      <c r="G4" s="343"/>
      <c r="H4" s="343"/>
    </row>
    <row r="5" spans="1:15" s="346" customFormat="1" ht="15.75" x14ac:dyDescent="0.25">
      <c r="A5" s="1853" t="s">
        <v>1104</v>
      </c>
      <c r="B5" s="1853"/>
      <c r="C5" s="1853"/>
      <c r="D5" s="1853"/>
      <c r="E5" s="1853"/>
      <c r="F5" s="1853"/>
      <c r="G5" s="1853"/>
      <c r="H5" s="1853"/>
    </row>
    <row r="6" spans="1:15" s="346" customFormat="1" ht="11.25" customHeight="1" thickBot="1" x14ac:dyDescent="0.25">
      <c r="A6" s="350"/>
      <c r="B6" s="351"/>
      <c r="C6" s="351"/>
      <c r="D6" s="351"/>
      <c r="E6" s="352"/>
      <c r="F6" s="352"/>
      <c r="G6" s="352"/>
      <c r="H6" s="351" t="s">
        <v>70</v>
      </c>
    </row>
    <row r="7" spans="1:15" s="346" customFormat="1" ht="14.25" customHeight="1" thickBot="1" x14ac:dyDescent="0.25">
      <c r="A7" s="353" t="s">
        <v>355</v>
      </c>
      <c r="B7" s="354"/>
      <c r="C7" s="354"/>
      <c r="D7" s="355"/>
      <c r="E7" s="356" t="s">
        <v>1038</v>
      </c>
      <c r="F7" s="357" t="s">
        <v>987</v>
      </c>
      <c r="G7" s="357" t="s">
        <v>72</v>
      </c>
      <c r="H7" s="358" t="s">
        <v>219</v>
      </c>
    </row>
    <row r="8" spans="1:15" s="346" customFormat="1" ht="13.5" customHeight="1" thickBot="1" x14ac:dyDescent="0.25">
      <c r="A8" s="359" t="s">
        <v>356</v>
      </c>
      <c r="B8" s="360"/>
      <c r="C8" s="360"/>
      <c r="D8" s="361"/>
      <c r="E8" s="362">
        <f>E9+E19+E31</f>
        <v>3059868.11</v>
      </c>
      <c r="F8" s="363">
        <f>F9+F19+F31</f>
        <v>3197988.4269700004</v>
      </c>
      <c r="G8" s="363">
        <f>G9+G19+G31</f>
        <v>4078111.3835</v>
      </c>
      <c r="H8" s="364">
        <f t="shared" ref="H8:H16" si="0">+G8/F8*100</f>
        <v>127.52114263790159</v>
      </c>
    </row>
    <row r="9" spans="1:15" s="346" customFormat="1" ht="12.75" customHeight="1" x14ac:dyDescent="0.2">
      <c r="A9" s="365" t="s">
        <v>357</v>
      </c>
      <c r="B9" s="366" t="s">
        <v>358</v>
      </c>
      <c r="C9" s="367"/>
      <c r="D9" s="368"/>
      <c r="E9" s="369">
        <f>SUM(E10:E18)</f>
        <v>2988900</v>
      </c>
      <c r="F9" s="370">
        <f>SUM(F10:F18)</f>
        <v>3001583.4600000004</v>
      </c>
      <c r="G9" s="370">
        <f>SUM(G10:G18)</f>
        <v>3853923.3084900002</v>
      </c>
      <c r="H9" s="371">
        <f t="shared" si="0"/>
        <v>128.3963401267543</v>
      </c>
    </row>
    <row r="10" spans="1:15" s="346" customFormat="1" ht="12.75" customHeight="1" x14ac:dyDescent="0.2">
      <c r="A10" s="372"/>
      <c r="B10" s="373" t="s">
        <v>359</v>
      </c>
      <c r="C10" s="374" t="s">
        <v>360</v>
      </c>
      <c r="D10" s="375"/>
      <c r="E10" s="376">
        <v>1785000</v>
      </c>
      <c r="F10" s="377">
        <v>1785000</v>
      </c>
      <c r="G10" s="377">
        <v>2091364.9862299999</v>
      </c>
      <c r="H10" s="378">
        <f>+G10/F10*100</f>
        <v>117.16330455070027</v>
      </c>
      <c r="K10" s="577"/>
      <c r="L10" s="460"/>
      <c r="M10" s="460"/>
      <c r="N10" s="460"/>
      <c r="O10" s="38"/>
    </row>
    <row r="11" spans="1:15" s="346" customFormat="1" ht="12.75" customHeight="1" x14ac:dyDescent="0.2">
      <c r="A11" s="379"/>
      <c r="B11" s="380"/>
      <c r="C11" s="374" t="s">
        <v>361</v>
      </c>
      <c r="D11" s="375"/>
      <c r="E11" s="938">
        <v>80000</v>
      </c>
      <c r="F11" s="937">
        <v>80000</v>
      </c>
      <c r="G11" s="937">
        <v>110850.39422</v>
      </c>
      <c r="H11" s="382">
        <f t="shared" si="0"/>
        <v>138.562992775</v>
      </c>
      <c r="J11" s="652"/>
      <c r="K11" s="577"/>
      <c r="L11" s="464"/>
      <c r="M11" s="460"/>
      <c r="N11" s="460"/>
      <c r="O11" s="38"/>
    </row>
    <row r="12" spans="1:15" s="346" customFormat="1" ht="12.75" customHeight="1" x14ac:dyDescent="0.2">
      <c r="A12" s="379"/>
      <c r="B12" s="380"/>
      <c r="C12" s="374" t="s">
        <v>362</v>
      </c>
      <c r="D12" s="375"/>
      <c r="E12" s="938">
        <v>7000</v>
      </c>
      <c r="F12" s="937">
        <v>7000</v>
      </c>
      <c r="G12" s="937">
        <v>42748.116739999998</v>
      </c>
      <c r="H12" s="382">
        <f t="shared" si="0"/>
        <v>610.68738199999996</v>
      </c>
      <c r="J12" s="652"/>
      <c r="K12" s="577"/>
      <c r="L12" s="464"/>
      <c r="M12" s="460"/>
      <c r="N12" s="460"/>
      <c r="O12" s="38"/>
    </row>
    <row r="13" spans="1:15" s="346" customFormat="1" ht="12.75" customHeight="1" x14ac:dyDescent="0.2">
      <c r="A13" s="379"/>
      <c r="B13" s="380"/>
      <c r="C13" s="374" t="s">
        <v>363</v>
      </c>
      <c r="D13" s="375"/>
      <c r="E13" s="938">
        <v>545000</v>
      </c>
      <c r="F13" s="937">
        <v>545000</v>
      </c>
      <c r="G13" s="937">
        <v>640459.94079999998</v>
      </c>
      <c r="H13" s="378">
        <f t="shared" si="0"/>
        <v>117.51558546788992</v>
      </c>
      <c r="J13" s="652"/>
      <c r="K13" s="577"/>
      <c r="L13" s="464"/>
      <c r="M13" s="460"/>
      <c r="N13" s="460"/>
      <c r="O13" s="38"/>
    </row>
    <row r="14" spans="1:15" s="346" customFormat="1" ht="12.75" customHeight="1" x14ac:dyDescent="0.2">
      <c r="A14" s="379"/>
      <c r="B14" s="380"/>
      <c r="C14" s="374" t="s">
        <v>364</v>
      </c>
      <c r="D14" s="375"/>
      <c r="E14" s="938">
        <v>553000</v>
      </c>
      <c r="F14" s="937">
        <v>553000</v>
      </c>
      <c r="G14" s="937">
        <v>935324.53312000004</v>
      </c>
      <c r="H14" s="382">
        <f t="shared" si="0"/>
        <v>169.13644360217</v>
      </c>
      <c r="J14" s="652"/>
      <c r="K14" s="577"/>
      <c r="L14" s="464"/>
      <c r="M14" s="460"/>
      <c r="N14" s="460"/>
      <c r="O14" s="38"/>
    </row>
    <row r="15" spans="1:15" s="346" customFormat="1" ht="12.75" customHeight="1" x14ac:dyDescent="0.2">
      <c r="A15" s="379"/>
      <c r="B15" s="380"/>
      <c r="C15" s="374" t="s">
        <v>81</v>
      </c>
      <c r="D15" s="375"/>
      <c r="E15" s="939">
        <v>0</v>
      </c>
      <c r="F15" s="937">
        <v>12235.24</v>
      </c>
      <c r="G15" s="937">
        <v>12235.24</v>
      </c>
      <c r="H15" s="382">
        <f t="shared" si="0"/>
        <v>100</v>
      </c>
      <c r="J15" s="941"/>
      <c r="K15" s="463"/>
      <c r="L15" s="464"/>
      <c r="M15" s="460"/>
      <c r="N15" s="460"/>
      <c r="O15" s="38"/>
    </row>
    <row r="16" spans="1:15" s="346" customFormat="1" ht="12.75" customHeight="1" x14ac:dyDescent="0.2">
      <c r="A16" s="379"/>
      <c r="B16" s="380"/>
      <c r="C16" s="374" t="s">
        <v>651</v>
      </c>
      <c r="D16" s="375"/>
      <c r="E16" s="381">
        <v>18300</v>
      </c>
      <c r="F16" s="377">
        <f>18000+679.62</f>
        <v>18679.62</v>
      </c>
      <c r="G16" s="377">
        <f>19130.53563+759.22175</f>
        <v>19889.757379999999</v>
      </c>
      <c r="H16" s="382">
        <f t="shared" si="0"/>
        <v>106.47838328616963</v>
      </c>
      <c r="J16" s="940"/>
      <c r="K16" s="940"/>
      <c r="L16" s="940"/>
      <c r="M16" s="940"/>
      <c r="N16" s="940"/>
    </row>
    <row r="17" spans="1:15" ht="12.75" customHeight="1" x14ac:dyDescent="0.2">
      <c r="A17" s="379"/>
      <c r="B17" s="380"/>
      <c r="C17" s="374" t="s">
        <v>365</v>
      </c>
      <c r="D17" s="375"/>
      <c r="E17" s="381">
        <v>600</v>
      </c>
      <c r="F17" s="377">
        <v>603.5</v>
      </c>
      <c r="G17" s="377">
        <v>915.54</v>
      </c>
      <c r="H17" s="383">
        <f>+G17/F17*100</f>
        <v>151.70505385252693</v>
      </c>
      <c r="J17" s="942"/>
      <c r="K17" s="942"/>
      <c r="L17" s="942"/>
      <c r="M17" s="942"/>
      <c r="N17" s="942"/>
    </row>
    <row r="18" spans="1:15" ht="21.75" customHeight="1" x14ac:dyDescent="0.2">
      <c r="A18" s="379"/>
      <c r="B18" s="380"/>
      <c r="C18" s="1856" t="s">
        <v>276</v>
      </c>
      <c r="D18" s="1857"/>
      <c r="E18" s="653">
        <v>0</v>
      </c>
      <c r="F18" s="654">
        <v>65.099999999999994</v>
      </c>
      <c r="G18" s="654">
        <v>134.80000000000001</v>
      </c>
      <c r="H18" s="655">
        <f>+G18/F18*100</f>
        <v>207.0660522273426</v>
      </c>
      <c r="I18" s="656"/>
      <c r="J18" s="942"/>
      <c r="K18" s="942"/>
      <c r="L18" s="942"/>
      <c r="M18" s="942"/>
      <c r="N18" s="942"/>
    </row>
    <row r="19" spans="1:15" ht="12.75" customHeight="1" x14ac:dyDescent="0.2">
      <c r="A19" s="379" t="s">
        <v>357</v>
      </c>
      <c r="B19" s="385" t="s">
        <v>366</v>
      </c>
      <c r="C19" s="386"/>
      <c r="D19" s="387"/>
      <c r="E19" s="388">
        <f>SUM(E20:E30)</f>
        <v>70968.11</v>
      </c>
      <c r="F19" s="389">
        <f>SUM(F20:F30)</f>
        <v>159097.97597</v>
      </c>
      <c r="G19" s="389">
        <f>SUM(G20:G30)</f>
        <v>186269.06401</v>
      </c>
      <c r="H19" s="390">
        <f t="shared" ref="H19:H31" si="1">(G19/F19)*100</f>
        <v>117.07821100447153</v>
      </c>
      <c r="J19" s="943"/>
      <c r="K19" s="943"/>
      <c r="L19" s="943"/>
      <c r="M19" s="942"/>
      <c r="N19" s="942"/>
    </row>
    <row r="20" spans="1:15" ht="12.75" customHeight="1" x14ac:dyDescent="0.2">
      <c r="A20" s="379"/>
      <c r="B20" s="391"/>
      <c r="C20" s="374" t="s">
        <v>367</v>
      </c>
      <c r="D20" s="375"/>
      <c r="E20" s="392">
        <v>6000</v>
      </c>
      <c r="F20" s="393">
        <v>8243.9480000000003</v>
      </c>
      <c r="G20" s="377">
        <v>7172.3870399999996</v>
      </c>
      <c r="H20" s="394">
        <f t="shared" si="1"/>
        <v>87.001847173223311</v>
      </c>
    </row>
    <row r="21" spans="1:15" ht="12.75" customHeight="1" x14ac:dyDescent="0.2">
      <c r="A21" s="379"/>
      <c r="B21" s="391"/>
      <c r="C21" s="374" t="s">
        <v>368</v>
      </c>
      <c r="D21" s="375"/>
      <c r="E21" s="392">
        <v>37004.65</v>
      </c>
      <c r="F21" s="393">
        <v>50824.219000000005</v>
      </c>
      <c r="G21" s="377">
        <v>50824.228999999999</v>
      </c>
      <c r="H21" s="394">
        <f t="shared" si="1"/>
        <v>100.00001967565895</v>
      </c>
    </row>
    <row r="22" spans="1:15" ht="12.75" customHeight="1" x14ac:dyDescent="0.2">
      <c r="A22" s="379"/>
      <c r="B22" s="391"/>
      <c r="C22" s="374" t="s">
        <v>369</v>
      </c>
      <c r="D22" s="375"/>
      <c r="E22" s="392">
        <v>16052</v>
      </c>
      <c r="F22" s="393">
        <v>16052</v>
      </c>
      <c r="G22" s="377">
        <v>16116.15094</v>
      </c>
      <c r="H22" s="394">
        <f t="shared" si="1"/>
        <v>100.39964453027659</v>
      </c>
    </row>
    <row r="23" spans="1:15" ht="12.75" customHeight="1" x14ac:dyDescent="0.2">
      <c r="A23" s="379"/>
      <c r="B23" s="391"/>
      <c r="C23" s="374" t="s">
        <v>370</v>
      </c>
      <c r="D23" s="375"/>
      <c r="E23" s="392">
        <v>0</v>
      </c>
      <c r="F23" s="393">
        <v>0</v>
      </c>
      <c r="G23" s="377">
        <f>7626.42291+862.91355</f>
        <v>8489.3364600000004</v>
      </c>
      <c r="H23" s="944" t="s">
        <v>75</v>
      </c>
      <c r="J23" s="951"/>
    </row>
    <row r="24" spans="1:15" ht="12.75" customHeight="1" x14ac:dyDescent="0.2">
      <c r="A24" s="379"/>
      <c r="B24" s="391"/>
      <c r="C24" s="374" t="s">
        <v>371</v>
      </c>
      <c r="D24" s="375"/>
      <c r="E24" s="392">
        <v>2000</v>
      </c>
      <c r="F24" s="393">
        <v>3609.3876</v>
      </c>
      <c r="G24" s="377">
        <v>5861.8596900000002</v>
      </c>
      <c r="H24" s="394">
        <f t="shared" si="1"/>
        <v>162.40593528941031</v>
      </c>
    </row>
    <row r="25" spans="1:15" ht="12.75" customHeight="1" x14ac:dyDescent="0.2">
      <c r="A25" s="379"/>
      <c r="B25" s="391"/>
      <c r="C25" s="374" t="s">
        <v>759</v>
      </c>
      <c r="D25" s="375"/>
      <c r="E25" s="392">
        <v>0</v>
      </c>
      <c r="F25" s="393">
        <v>111.163</v>
      </c>
      <c r="G25" s="377">
        <v>12273.508250000001</v>
      </c>
      <c r="H25" s="394">
        <f>(G25/F25)*100</f>
        <v>11041.001277403455</v>
      </c>
    </row>
    <row r="26" spans="1:15" ht="12.75" customHeight="1" x14ac:dyDescent="0.2">
      <c r="A26" s="379"/>
      <c r="B26" s="391"/>
      <c r="C26" s="374" t="s">
        <v>372</v>
      </c>
      <c r="D26" s="375"/>
      <c r="E26" s="392">
        <v>0</v>
      </c>
      <c r="F26" s="393">
        <v>0</v>
      </c>
      <c r="G26" s="377">
        <v>187.87980999999999</v>
      </c>
      <c r="H26" s="944" t="s">
        <v>75</v>
      </c>
    </row>
    <row r="27" spans="1:15" ht="12.75" customHeight="1" x14ac:dyDescent="0.2">
      <c r="A27" s="379"/>
      <c r="B27" s="391"/>
      <c r="C27" s="374" t="s">
        <v>198</v>
      </c>
      <c r="D27" s="375"/>
      <c r="E27" s="392">
        <v>0</v>
      </c>
      <c r="F27" s="393">
        <v>31655.866189999997</v>
      </c>
      <c r="G27" s="377">
        <v>36379.985249999998</v>
      </c>
      <c r="H27" s="394">
        <f>(G27/F27)*100</f>
        <v>114.92336059182718</v>
      </c>
    </row>
    <row r="28" spans="1:15" ht="12.75" customHeight="1" x14ac:dyDescent="0.2">
      <c r="A28" s="379"/>
      <c r="B28" s="391"/>
      <c r="C28" s="374" t="s">
        <v>199</v>
      </c>
      <c r="D28" s="375"/>
      <c r="E28" s="392">
        <v>3891.46</v>
      </c>
      <c r="F28" s="393">
        <v>16680.172749999998</v>
      </c>
      <c r="G28" s="377">
        <v>18202.585719999999</v>
      </c>
      <c r="H28" s="394">
        <f t="shared" si="1"/>
        <v>109.12708155255768</v>
      </c>
    </row>
    <row r="29" spans="1:15" ht="12.75" customHeight="1" x14ac:dyDescent="0.2">
      <c r="A29" s="379"/>
      <c r="B29" s="391"/>
      <c r="C29" s="374" t="s">
        <v>200</v>
      </c>
      <c r="D29" s="375"/>
      <c r="E29" s="392">
        <v>0</v>
      </c>
      <c r="F29" s="393">
        <v>19235.16</v>
      </c>
      <c r="G29" s="377">
        <v>17882.439999999999</v>
      </c>
      <c r="H29" s="394">
        <f t="shared" si="1"/>
        <v>92.967461669151703</v>
      </c>
    </row>
    <row r="30" spans="1:15" ht="12.75" customHeight="1" x14ac:dyDescent="0.2">
      <c r="A30" s="379"/>
      <c r="B30" s="391"/>
      <c r="C30" s="374" t="s">
        <v>201</v>
      </c>
      <c r="D30" s="375"/>
      <c r="E30" s="392">
        <v>6020</v>
      </c>
      <c r="F30" s="393">
        <f>6215.09943+6470.96</f>
        <v>12686.059430000001</v>
      </c>
      <c r="G30" s="377">
        <f>4727.04085+8151.661</f>
        <v>12878.701850000001</v>
      </c>
      <c r="H30" s="394">
        <f t="shared" si="1"/>
        <v>101.51853631983184</v>
      </c>
      <c r="J30" s="570"/>
      <c r="K30" s="570"/>
      <c r="L30" s="570"/>
    </row>
    <row r="31" spans="1:15" ht="12.75" customHeight="1" x14ac:dyDescent="0.2">
      <c r="A31" s="379" t="s">
        <v>357</v>
      </c>
      <c r="B31" s="385" t="s">
        <v>202</v>
      </c>
      <c r="C31" s="386"/>
      <c r="D31" s="387"/>
      <c r="E31" s="395">
        <f>SUM(E32:E33)</f>
        <v>0</v>
      </c>
      <c r="F31" s="396">
        <f>SUM(F32:F33)</f>
        <v>37306.991000000002</v>
      </c>
      <c r="G31" s="396">
        <f>SUM(G32:G33)</f>
        <v>37919.010999999999</v>
      </c>
      <c r="H31" s="390">
        <f t="shared" si="1"/>
        <v>101.64049681733913</v>
      </c>
    </row>
    <row r="32" spans="1:15" ht="12.75" customHeight="1" x14ac:dyDescent="0.2">
      <c r="A32" s="379"/>
      <c r="B32" s="397" t="s">
        <v>203</v>
      </c>
      <c r="C32" s="374" t="s">
        <v>399</v>
      </c>
      <c r="D32" s="375"/>
      <c r="E32" s="392">
        <v>0</v>
      </c>
      <c r="F32" s="377">
        <v>37306.991000000002</v>
      </c>
      <c r="G32" s="377">
        <v>37507.290999999997</v>
      </c>
      <c r="H32" s="382">
        <f t="shared" ref="H32:H55" si="2">+G32/F32*100</f>
        <v>100.5368966904889</v>
      </c>
      <c r="J32" s="1310"/>
      <c r="K32" s="1310"/>
      <c r="L32" s="1310"/>
      <c r="M32" s="1310"/>
      <c r="N32" s="1310"/>
      <c r="O32" s="1310"/>
    </row>
    <row r="33" spans="1:17" ht="12.75" customHeight="1" thickBot="1" x14ac:dyDescent="0.25">
      <c r="A33" s="379"/>
      <c r="B33" s="391"/>
      <c r="C33" s="398" t="s">
        <v>398</v>
      </c>
      <c r="D33" s="399"/>
      <c r="E33" s="392">
        <v>0</v>
      </c>
      <c r="F33" s="393">
        <v>0</v>
      </c>
      <c r="G33" s="377">
        <v>411.72</v>
      </c>
      <c r="H33" s="657" t="s">
        <v>75</v>
      </c>
      <c r="J33" s="1310"/>
      <c r="K33" s="1310"/>
      <c r="L33" s="1310"/>
      <c r="M33" s="1310"/>
      <c r="N33" s="1310"/>
      <c r="O33" s="1310"/>
    </row>
    <row r="34" spans="1:17" ht="12" customHeight="1" thickBot="1" x14ac:dyDescent="0.25">
      <c r="A34" s="359" t="s">
        <v>204</v>
      </c>
      <c r="B34" s="360"/>
      <c r="C34" s="360"/>
      <c r="D34" s="361"/>
      <c r="E34" s="400">
        <f>E35+E37+E40+E73+E71+E54+E83</f>
        <v>127608.88</v>
      </c>
      <c r="F34" s="401">
        <f>F35+F37+F40+F73+F71+F54+F83</f>
        <v>9432429.3776300009</v>
      </c>
      <c r="G34" s="401">
        <f>G35+G37+G40+G73+G71+G54+G83</f>
        <v>9485234.5847000014</v>
      </c>
      <c r="H34" s="402">
        <f t="shared" si="2"/>
        <v>100.55982615883914</v>
      </c>
      <c r="J34" s="1311"/>
      <c r="K34" s="1311"/>
      <c r="L34" s="1310"/>
      <c r="M34" s="1310"/>
      <c r="N34" s="1310"/>
      <c r="O34" s="1310"/>
    </row>
    <row r="35" spans="1:17" ht="12" customHeight="1" x14ac:dyDescent="0.2">
      <c r="A35" s="365" t="s">
        <v>357</v>
      </c>
      <c r="B35" s="366" t="s">
        <v>400</v>
      </c>
      <c r="C35" s="367"/>
      <c r="D35" s="367"/>
      <c r="E35" s="403">
        <f>SUM(E36:E36)</f>
        <v>100038</v>
      </c>
      <c r="F35" s="370">
        <f>SUM(F36:F36)</f>
        <v>100038</v>
      </c>
      <c r="G35" s="370">
        <f>SUM(G36:G36)</f>
        <v>100038</v>
      </c>
      <c r="H35" s="371">
        <f t="shared" si="2"/>
        <v>100</v>
      </c>
      <c r="J35" s="952"/>
      <c r="K35" s="952"/>
      <c r="L35" s="1310"/>
      <c r="M35" s="1310"/>
      <c r="N35" s="1310"/>
      <c r="O35" s="1310"/>
    </row>
    <row r="36" spans="1:17" ht="12.75" customHeight="1" x14ac:dyDescent="0.2">
      <c r="A36" s="404"/>
      <c r="B36" s="373" t="s">
        <v>359</v>
      </c>
      <c r="C36" s="1850" t="s">
        <v>205</v>
      </c>
      <c r="D36" s="1851"/>
      <c r="E36" s="392">
        <v>100038</v>
      </c>
      <c r="F36" s="405">
        <f>100038</f>
        <v>100038</v>
      </c>
      <c r="G36" s="377">
        <f>100038</f>
        <v>100038</v>
      </c>
      <c r="H36" s="382">
        <f t="shared" si="2"/>
        <v>100</v>
      </c>
      <c r="J36" s="1312"/>
      <c r="K36" s="1312"/>
      <c r="L36" s="1310"/>
      <c r="M36" s="1310"/>
      <c r="N36" s="1310"/>
      <c r="O36" s="1310"/>
    </row>
    <row r="37" spans="1:17" ht="12" customHeight="1" x14ac:dyDescent="0.2">
      <c r="A37" s="379" t="s">
        <v>357</v>
      </c>
      <c r="B37" s="385" t="s">
        <v>401</v>
      </c>
      <c r="C37" s="386"/>
      <c r="D37" s="386"/>
      <c r="E37" s="388">
        <f>SUM(E38:E39)</f>
        <v>27570.880000000001</v>
      </c>
      <c r="F37" s="396">
        <f>SUM(F38:F39)</f>
        <v>30162.742999999999</v>
      </c>
      <c r="G37" s="396">
        <f>SUM(G38:G39)</f>
        <v>30166.675500000001</v>
      </c>
      <c r="H37" s="406">
        <f t="shared" si="2"/>
        <v>100.01303760735554</v>
      </c>
      <c r="J37" s="1313"/>
      <c r="K37" s="1310"/>
      <c r="L37" s="1310"/>
      <c r="M37" s="1310"/>
      <c r="N37" s="1310"/>
      <c r="O37" s="1310"/>
    </row>
    <row r="38" spans="1:17" ht="12" customHeight="1" x14ac:dyDescent="0.2">
      <c r="A38" s="379"/>
      <c r="B38" s="380" t="s">
        <v>359</v>
      </c>
      <c r="C38" s="1850" t="s">
        <v>427</v>
      </c>
      <c r="D38" s="1851"/>
      <c r="E38" s="392">
        <v>27570.880000000001</v>
      </c>
      <c r="F38" s="377">
        <v>30112.742999999999</v>
      </c>
      <c r="G38" s="377">
        <v>30116.675500000001</v>
      </c>
      <c r="H38" s="382">
        <f t="shared" si="2"/>
        <v>100.01305925534582</v>
      </c>
      <c r="J38" s="1310"/>
      <c r="K38" s="1312"/>
      <c r="L38" s="1310"/>
      <c r="M38" s="1310"/>
      <c r="N38" s="1310"/>
      <c r="O38" s="1310"/>
    </row>
    <row r="39" spans="1:17" ht="13.5" customHeight="1" x14ac:dyDescent="0.2">
      <c r="A39" s="379"/>
      <c r="B39" s="380"/>
      <c r="C39" s="1850" t="s">
        <v>812</v>
      </c>
      <c r="D39" s="1851"/>
      <c r="E39" s="392">
        <v>0</v>
      </c>
      <c r="F39" s="377">
        <v>50</v>
      </c>
      <c r="G39" s="377">
        <v>50</v>
      </c>
      <c r="H39" s="382">
        <f t="shared" si="2"/>
        <v>100</v>
      </c>
      <c r="J39" s="1310"/>
      <c r="K39" s="1310"/>
      <c r="L39" s="1310"/>
      <c r="M39" s="1314"/>
      <c r="N39" s="1314"/>
      <c r="O39" s="1314"/>
      <c r="P39" s="942"/>
      <c r="Q39" s="942"/>
    </row>
    <row r="40" spans="1:17" ht="26.25" customHeight="1" x14ac:dyDescent="0.2">
      <c r="A40" s="407" t="s">
        <v>357</v>
      </c>
      <c r="B40" s="1854" t="s">
        <v>402</v>
      </c>
      <c r="C40" s="1855"/>
      <c r="D40" s="1855"/>
      <c r="E40" s="408">
        <f>SUM(E41:E53)</f>
        <v>0</v>
      </c>
      <c r="F40" s="409">
        <f>SUM(F41:F53)</f>
        <v>8554595.3779099993</v>
      </c>
      <c r="G40" s="409">
        <f>SUM(G41:G53)</f>
        <v>8607396.6516300011</v>
      </c>
      <c r="H40" s="410">
        <f t="shared" si="2"/>
        <v>100.61722701527587</v>
      </c>
      <c r="J40" s="1315"/>
      <c r="K40" s="1315"/>
      <c r="L40" s="1310"/>
      <c r="M40" s="1316"/>
      <c r="N40" s="1314"/>
      <c r="O40" s="1314"/>
      <c r="P40" s="942"/>
      <c r="Q40" s="942"/>
    </row>
    <row r="41" spans="1:17" ht="12.75" customHeight="1" x14ac:dyDescent="0.2">
      <c r="A41" s="411"/>
      <c r="B41" s="397" t="s">
        <v>359</v>
      </c>
      <c r="C41" s="412" t="s">
        <v>190</v>
      </c>
      <c r="D41" s="374" t="s">
        <v>405</v>
      </c>
      <c r="E41" s="1292">
        <v>0</v>
      </c>
      <c r="F41" s="342">
        <v>7338692.2180700004</v>
      </c>
      <c r="G41" s="342">
        <v>7338692.2180700004</v>
      </c>
      <c r="H41" s="1293">
        <f t="shared" si="2"/>
        <v>100</v>
      </c>
      <c r="J41" s="1302"/>
      <c r="K41" s="1302"/>
      <c r="L41" s="1302"/>
      <c r="M41" s="1302"/>
      <c r="N41" s="1302"/>
      <c r="O41" s="1314"/>
      <c r="P41" s="942"/>
      <c r="Q41" s="942"/>
    </row>
    <row r="42" spans="1:17" ht="12.75" customHeight="1" x14ac:dyDescent="0.2">
      <c r="A42" s="413"/>
      <c r="B42" s="412"/>
      <c r="C42" s="412" t="s">
        <v>191</v>
      </c>
      <c r="D42" s="374" t="s">
        <v>405</v>
      </c>
      <c r="E42" s="1292">
        <v>0</v>
      </c>
      <c r="F42" s="342">
        <v>1012821.4884800001</v>
      </c>
      <c r="G42" s="342">
        <v>1012821.4884800001</v>
      </c>
      <c r="H42" s="1293">
        <f t="shared" si="2"/>
        <v>100</v>
      </c>
      <c r="J42" s="1302"/>
      <c r="K42" s="1302"/>
      <c r="L42" s="1302"/>
      <c r="M42" s="1317"/>
      <c r="N42" s="1318"/>
      <c r="O42" s="1314"/>
      <c r="P42" s="942"/>
      <c r="Q42" s="942"/>
    </row>
    <row r="43" spans="1:17" ht="12.75" customHeight="1" x14ac:dyDescent="0.2">
      <c r="A43" s="413"/>
      <c r="B43" s="412"/>
      <c r="C43" s="412" t="s">
        <v>192</v>
      </c>
      <c r="D43" s="374" t="s">
        <v>405</v>
      </c>
      <c r="E43" s="1292">
        <v>0</v>
      </c>
      <c r="F43" s="654">
        <v>131933.19699999999</v>
      </c>
      <c r="G43" s="654">
        <v>131933.19699999999</v>
      </c>
      <c r="H43" s="1293">
        <f>+G43/F43*100</f>
        <v>100</v>
      </c>
      <c r="J43" s="1302"/>
      <c r="K43" s="1302"/>
      <c r="L43" s="1302"/>
      <c r="M43" s="1319"/>
      <c r="N43" s="1319"/>
      <c r="O43" s="1314"/>
      <c r="P43" s="942"/>
      <c r="Q43" s="942"/>
    </row>
    <row r="44" spans="1:17" ht="12.75" customHeight="1" x14ac:dyDescent="0.2">
      <c r="A44" s="413"/>
      <c r="B44" s="412"/>
      <c r="C44" s="412" t="s">
        <v>318</v>
      </c>
      <c r="D44" s="374" t="s">
        <v>405</v>
      </c>
      <c r="E44" s="1292">
        <v>0</v>
      </c>
      <c r="F44" s="342">
        <v>14397.794</v>
      </c>
      <c r="G44" s="342">
        <v>14397.794</v>
      </c>
      <c r="H44" s="1293">
        <f>+G44/F44*100</f>
        <v>100</v>
      </c>
      <c r="J44" s="1302"/>
      <c r="K44" s="1302"/>
      <c r="L44" s="1302"/>
      <c r="M44" s="1319"/>
      <c r="N44" s="1319"/>
      <c r="O44" s="1314"/>
      <c r="P44" s="942"/>
      <c r="Q44" s="942"/>
    </row>
    <row r="45" spans="1:17" ht="12.75" customHeight="1" x14ac:dyDescent="0.2">
      <c r="A45" s="413"/>
      <c r="B45" s="412"/>
      <c r="C45" s="412" t="s">
        <v>319</v>
      </c>
      <c r="D45" s="374" t="s">
        <v>405</v>
      </c>
      <c r="E45" s="1292">
        <v>0</v>
      </c>
      <c r="F45" s="654">
        <v>12293.603880000001</v>
      </c>
      <c r="G45" s="654">
        <v>12293.603880000001</v>
      </c>
      <c r="H45" s="1293">
        <f>+G45/F45*100</f>
        <v>100</v>
      </c>
      <c r="J45" s="1302"/>
      <c r="K45" s="1302"/>
      <c r="L45" s="1302"/>
      <c r="M45" s="1319"/>
      <c r="N45" s="1319"/>
      <c r="O45" s="1314"/>
      <c r="P45" s="942"/>
      <c r="Q45" s="942"/>
    </row>
    <row r="46" spans="1:17" ht="12.75" customHeight="1" x14ac:dyDescent="0.2">
      <c r="A46" s="414"/>
      <c r="B46" s="412"/>
      <c r="C46" s="412" t="s">
        <v>193</v>
      </c>
      <c r="D46" s="374" t="s">
        <v>405</v>
      </c>
      <c r="E46" s="1292">
        <v>0</v>
      </c>
      <c r="F46" s="654">
        <v>16739.53</v>
      </c>
      <c r="G46" s="654">
        <v>16739.532449999999</v>
      </c>
      <c r="H46" s="1293">
        <f>+G46/F46*100</f>
        <v>100.00001463601427</v>
      </c>
      <c r="J46" s="1302"/>
      <c r="K46" s="1302"/>
      <c r="L46" s="1302"/>
      <c r="M46" s="1320"/>
      <c r="N46" s="1320"/>
      <c r="O46" s="1314"/>
      <c r="P46" s="942"/>
      <c r="Q46" s="942"/>
    </row>
    <row r="47" spans="1:17" ht="12.75" customHeight="1" x14ac:dyDescent="0.2">
      <c r="A47" s="414"/>
      <c r="B47" s="412"/>
      <c r="C47" s="418" t="s">
        <v>150</v>
      </c>
      <c r="D47" s="374" t="s">
        <v>406</v>
      </c>
      <c r="E47" s="1292">
        <v>0</v>
      </c>
      <c r="F47" s="654">
        <v>14738.54</v>
      </c>
      <c r="G47" s="654">
        <v>67539.810159999994</v>
      </c>
      <c r="H47" s="1293">
        <f>+G47/F47*100</f>
        <v>458.2530573584628</v>
      </c>
      <c r="J47" s="1302"/>
      <c r="K47" s="1302"/>
      <c r="L47" s="1302"/>
      <c r="M47" s="1319"/>
      <c r="N47" s="1321"/>
      <c r="O47" s="1314"/>
      <c r="P47" s="942"/>
      <c r="Q47" s="942"/>
    </row>
    <row r="48" spans="1:17" ht="12" customHeight="1" x14ac:dyDescent="0.2">
      <c r="A48" s="411"/>
      <c r="B48" s="380"/>
      <c r="C48" s="412" t="s">
        <v>195</v>
      </c>
      <c r="D48" s="374" t="s">
        <v>405</v>
      </c>
      <c r="E48" s="1292">
        <v>0</v>
      </c>
      <c r="F48" s="654">
        <v>3803.1579999999999</v>
      </c>
      <c r="G48" s="654">
        <v>3803.1579999999999</v>
      </c>
      <c r="H48" s="1293">
        <f t="shared" si="2"/>
        <v>100</v>
      </c>
      <c r="J48" s="1302"/>
      <c r="K48" s="1302"/>
      <c r="L48" s="1302"/>
      <c r="M48" s="1319"/>
      <c r="N48" s="1319"/>
      <c r="O48" s="1314"/>
      <c r="P48" s="942"/>
      <c r="Q48" s="942"/>
    </row>
    <row r="49" spans="1:17" ht="12" customHeight="1" x14ac:dyDescent="0.2">
      <c r="A49" s="411"/>
      <c r="B49" s="380"/>
      <c r="C49" s="415" t="s">
        <v>194</v>
      </c>
      <c r="D49" s="374" t="s">
        <v>405</v>
      </c>
      <c r="E49" s="1292">
        <v>0</v>
      </c>
      <c r="F49" s="654">
        <f>G49</f>
        <v>4881.4671799999996</v>
      </c>
      <c r="G49" s="654">
        <v>4881.4671799999996</v>
      </c>
      <c r="H49" s="1293">
        <f t="shared" si="2"/>
        <v>100</v>
      </c>
      <c r="J49" s="1302"/>
      <c r="K49" s="1302"/>
      <c r="L49" s="1302"/>
      <c r="M49" s="1319"/>
      <c r="N49" s="1319"/>
      <c r="O49" s="1314"/>
      <c r="P49" s="942"/>
      <c r="Q49" s="942"/>
    </row>
    <row r="50" spans="1:17" ht="12" customHeight="1" x14ac:dyDescent="0.2">
      <c r="A50" s="411"/>
      <c r="B50" s="380"/>
      <c r="C50" s="412" t="s">
        <v>672</v>
      </c>
      <c r="D50" s="374" t="s">
        <v>405</v>
      </c>
      <c r="E50" s="1292">
        <v>0</v>
      </c>
      <c r="F50" s="1290">
        <v>2353.33</v>
      </c>
      <c r="G50" s="654">
        <v>2353.3301099999999</v>
      </c>
      <c r="H50" s="1293">
        <f t="shared" si="2"/>
        <v>100.00000467422758</v>
      </c>
      <c r="J50" s="1303"/>
      <c r="K50" s="1302"/>
      <c r="L50" s="1302"/>
      <c r="M50" s="1317"/>
      <c r="N50" s="1318"/>
      <c r="O50" s="1314"/>
      <c r="P50" s="942"/>
      <c r="Q50" s="942"/>
    </row>
    <row r="51" spans="1:17" s="346" customFormat="1" ht="12" customHeight="1" x14ac:dyDescent="0.2">
      <c r="A51" s="416"/>
      <c r="B51" s="417"/>
      <c r="C51" s="412" t="s">
        <v>709</v>
      </c>
      <c r="D51" s="374" t="s">
        <v>405</v>
      </c>
      <c r="E51" s="1292">
        <v>0</v>
      </c>
      <c r="F51" s="654">
        <v>1260.51</v>
      </c>
      <c r="G51" s="654">
        <v>1260.511</v>
      </c>
      <c r="H51" s="1293">
        <f t="shared" si="2"/>
        <v>100.0000793329684</v>
      </c>
      <c r="J51" s="1302"/>
      <c r="K51" s="1302"/>
      <c r="L51" s="1302"/>
      <c r="M51" s="1302"/>
      <c r="N51" s="1302"/>
      <c r="O51" s="1302"/>
      <c r="P51" s="940"/>
      <c r="Q51" s="940"/>
    </row>
    <row r="52" spans="1:17" s="346" customFormat="1" ht="12" customHeight="1" x14ac:dyDescent="0.2">
      <c r="A52" s="411"/>
      <c r="B52" s="380"/>
      <c r="C52" s="419" t="s">
        <v>710</v>
      </c>
      <c r="D52" s="374" t="s">
        <v>405</v>
      </c>
      <c r="E52" s="1292">
        <v>0</v>
      </c>
      <c r="F52" s="342">
        <v>450</v>
      </c>
      <c r="G52" s="342">
        <v>450</v>
      </c>
      <c r="H52" s="1293">
        <f t="shared" si="2"/>
        <v>100</v>
      </c>
      <c r="I52" s="953"/>
      <c r="J52" s="1271"/>
      <c r="K52" s="1271"/>
      <c r="L52" s="1302"/>
      <c r="M52" s="1302"/>
      <c r="N52" s="1302"/>
      <c r="O52" s="1302"/>
      <c r="P52" s="940"/>
      <c r="Q52" s="940"/>
    </row>
    <row r="53" spans="1:17" s="346" customFormat="1" ht="12.75" customHeight="1" x14ac:dyDescent="0.2">
      <c r="A53" s="411"/>
      <c r="B53" s="380"/>
      <c r="C53" s="419" t="s">
        <v>188</v>
      </c>
      <c r="D53" s="374" t="s">
        <v>405</v>
      </c>
      <c r="E53" s="1292">
        <v>0</v>
      </c>
      <c r="F53" s="654">
        <f>G53</f>
        <v>230.54130000000001</v>
      </c>
      <c r="G53" s="1289">
        <v>230.54130000000001</v>
      </c>
      <c r="H53" s="1293">
        <f t="shared" si="2"/>
        <v>100</v>
      </c>
      <c r="J53" s="1302"/>
      <c r="K53" s="1322"/>
      <c r="L53" s="1302"/>
      <c r="M53" s="1302"/>
      <c r="N53" s="1302"/>
      <c r="O53" s="1302"/>
      <c r="P53" s="940"/>
      <c r="Q53" s="940"/>
    </row>
    <row r="54" spans="1:17" s="346" customFormat="1" ht="12" customHeight="1" x14ac:dyDescent="0.2">
      <c r="A54" s="379" t="s">
        <v>357</v>
      </c>
      <c r="B54" s="385" t="s">
        <v>45</v>
      </c>
      <c r="C54" s="386"/>
      <c r="D54" s="386"/>
      <c r="E54" s="388">
        <f>E55</f>
        <v>0</v>
      </c>
      <c r="F54" s="420">
        <f>SUM(F55:F55)</f>
        <v>270.47098999999997</v>
      </c>
      <c r="G54" s="420">
        <f>SUM(G55:G55)</f>
        <v>270.47098999999997</v>
      </c>
      <c r="H54" s="406">
        <f t="shared" si="2"/>
        <v>100</v>
      </c>
      <c r="I54" s="940"/>
      <c r="J54" s="1302"/>
      <c r="K54" s="1302"/>
      <c r="L54" s="1302"/>
      <c r="M54" s="952"/>
      <c r="N54" s="952"/>
      <c r="O54" s="952"/>
    </row>
    <row r="55" spans="1:17" s="346" customFormat="1" ht="12.75" customHeight="1" thickBot="1" x14ac:dyDescent="0.25">
      <c r="A55" s="421"/>
      <c r="B55" s="629" t="s">
        <v>359</v>
      </c>
      <c r="C55" s="398" t="s">
        <v>148</v>
      </c>
      <c r="D55" s="1291"/>
      <c r="E55" s="422">
        <v>0</v>
      </c>
      <c r="F55" s="423">
        <v>270.47098999999997</v>
      </c>
      <c r="G55" s="423">
        <v>270.47098999999997</v>
      </c>
      <c r="H55" s="424">
        <f t="shared" si="2"/>
        <v>100</v>
      </c>
      <c r="J55" s="1310"/>
      <c r="K55" s="1310"/>
      <c r="L55" s="1310"/>
      <c r="M55" s="1310"/>
      <c r="N55" s="1310"/>
      <c r="O55" s="952"/>
    </row>
    <row r="56" spans="1:17" x14ac:dyDescent="0.2">
      <c r="J56" s="952"/>
      <c r="K56" s="952"/>
      <c r="L56" s="952"/>
      <c r="M56" s="1310"/>
      <c r="N56" s="1310"/>
      <c r="O56" s="1310"/>
    </row>
    <row r="57" spans="1:17" x14ac:dyDescent="0.2">
      <c r="J57" s="952"/>
      <c r="K57" s="952"/>
      <c r="L57" s="952"/>
      <c r="M57" s="1310"/>
      <c r="N57" s="1310"/>
      <c r="O57" s="1310"/>
    </row>
    <row r="58" spans="1:17" x14ac:dyDescent="0.2">
      <c r="J58" s="1310"/>
      <c r="K58" s="1310"/>
      <c r="L58" s="1310"/>
      <c r="M58" s="1310"/>
      <c r="N58" s="1310"/>
      <c r="O58" s="1310"/>
    </row>
    <row r="59" spans="1:17" x14ac:dyDescent="0.2">
      <c r="J59" s="1310"/>
      <c r="K59" s="1310"/>
      <c r="L59" s="1310"/>
      <c r="M59" s="1310"/>
      <c r="N59" s="1310"/>
      <c r="O59" s="1310"/>
    </row>
    <row r="63" spans="1:17" x14ac:dyDescent="0.2">
      <c r="F63" s="346"/>
      <c r="G63" s="346"/>
      <c r="J63" s="346"/>
      <c r="K63" s="346"/>
      <c r="L63" s="346"/>
      <c r="M63" s="346"/>
      <c r="N63" s="346"/>
    </row>
    <row r="64" spans="1:17" s="346" customFormat="1" ht="12.75" customHeight="1" x14ac:dyDescent="0.2">
      <c r="A64" s="384"/>
      <c r="B64" s="384"/>
      <c r="C64" s="384"/>
      <c r="D64" s="384"/>
      <c r="E64" s="343"/>
      <c r="F64" s="343"/>
      <c r="G64" s="343"/>
      <c r="H64" s="457" t="s">
        <v>4</v>
      </c>
    </row>
    <row r="65" spans="1:14" s="346" customFormat="1" ht="12.75" customHeight="1" x14ac:dyDescent="0.2">
      <c r="A65" s="384"/>
      <c r="B65" s="384"/>
      <c r="C65" s="384"/>
      <c r="D65" s="384"/>
      <c r="E65" s="343"/>
      <c r="F65" s="343"/>
      <c r="G65" s="343"/>
      <c r="H65" s="343"/>
    </row>
    <row r="66" spans="1:14" s="346" customFormat="1" ht="15.75" x14ac:dyDescent="0.25">
      <c r="A66" s="1853" t="s">
        <v>851</v>
      </c>
      <c r="B66" s="1853"/>
      <c r="C66" s="1853"/>
      <c r="D66" s="1853"/>
      <c r="E66" s="1853"/>
      <c r="F66" s="1853"/>
      <c r="G66" s="1853"/>
      <c r="H66" s="1853"/>
    </row>
    <row r="67" spans="1:14" s="346" customFormat="1" ht="9.9499999999999993" customHeight="1" x14ac:dyDescent="0.2">
      <c r="A67" s="343"/>
      <c r="B67" s="343"/>
      <c r="C67" s="343"/>
      <c r="D67" s="343"/>
      <c r="E67" s="343"/>
      <c r="F67" s="343"/>
      <c r="G67" s="343"/>
      <c r="H67" s="343"/>
    </row>
    <row r="68" spans="1:14" s="346" customFormat="1" ht="15.75" x14ac:dyDescent="0.25">
      <c r="A68" s="1853" t="s">
        <v>1104</v>
      </c>
      <c r="B68" s="1853"/>
      <c r="C68" s="1853"/>
      <c r="D68" s="1853"/>
      <c r="E68" s="1853"/>
      <c r="F68" s="1853"/>
      <c r="G68" s="1853"/>
      <c r="H68" s="1853"/>
    </row>
    <row r="69" spans="1:14" s="346" customFormat="1" ht="12" customHeight="1" thickBot="1" x14ac:dyDescent="0.25">
      <c r="A69" s="350"/>
      <c r="B69" s="351"/>
      <c r="C69" s="351"/>
      <c r="D69" s="351"/>
      <c r="E69" s="351"/>
      <c r="F69" s="351"/>
      <c r="G69" s="343"/>
      <c r="H69" s="351" t="s">
        <v>70</v>
      </c>
    </row>
    <row r="70" spans="1:14" s="346" customFormat="1" ht="14.25" customHeight="1" thickBot="1" x14ac:dyDescent="0.25">
      <c r="A70" s="353" t="s">
        <v>355</v>
      </c>
      <c r="B70" s="354"/>
      <c r="C70" s="354"/>
      <c r="D70" s="355"/>
      <c r="E70" s="425" t="s">
        <v>1038</v>
      </c>
      <c r="F70" s="357" t="s">
        <v>987</v>
      </c>
      <c r="G70" s="357" t="s">
        <v>72</v>
      </c>
      <c r="H70" s="358" t="s">
        <v>219</v>
      </c>
      <c r="J70" s="952"/>
      <c r="K70" s="952"/>
      <c r="L70" s="952"/>
      <c r="M70" s="952"/>
      <c r="N70" s="952"/>
    </row>
    <row r="71" spans="1:14" s="346" customFormat="1" ht="12.75" customHeight="1" x14ac:dyDescent="0.2">
      <c r="A71" s="1296" t="s">
        <v>357</v>
      </c>
      <c r="B71" s="366" t="s">
        <v>404</v>
      </c>
      <c r="C71" s="367"/>
      <c r="D71" s="367"/>
      <c r="E71" s="369">
        <f>SUM(E72:E72)</f>
        <v>0</v>
      </c>
      <c r="F71" s="1297">
        <f>SUM(F72:F72)</f>
        <v>2247.9768300000001</v>
      </c>
      <c r="G71" s="1297">
        <f>SUM(G72:G72)</f>
        <v>2247.97768</v>
      </c>
      <c r="H71" s="371">
        <f>+G71/F71*100</f>
        <v>100.00003781177762</v>
      </c>
      <c r="J71" s="952"/>
      <c r="K71" s="952"/>
      <c r="L71" s="952"/>
      <c r="M71" s="952"/>
      <c r="N71" s="952"/>
    </row>
    <row r="72" spans="1:14" s="346" customFormat="1" ht="12.75" customHeight="1" x14ac:dyDescent="0.2">
      <c r="A72" s="379"/>
      <c r="B72" s="397" t="s">
        <v>359</v>
      </c>
      <c r="C72" s="1850" t="s">
        <v>760</v>
      </c>
      <c r="D72" s="1851"/>
      <c r="E72" s="392">
        <v>0</v>
      </c>
      <c r="F72" s="377">
        <v>2247.9768300000001</v>
      </c>
      <c r="G72" s="377">
        <v>2247.97768</v>
      </c>
      <c r="H72" s="382">
        <f>+G72/F72*100</f>
        <v>100.00003781177762</v>
      </c>
      <c r="J72" s="952"/>
      <c r="K72" s="952"/>
      <c r="L72" s="952"/>
      <c r="M72" s="952"/>
      <c r="N72" s="952"/>
    </row>
    <row r="73" spans="1:14" s="346" customFormat="1" ht="24.75" customHeight="1" x14ac:dyDescent="0.2">
      <c r="A73" s="426" t="s">
        <v>357</v>
      </c>
      <c r="B73" s="1860" t="s">
        <v>403</v>
      </c>
      <c r="C73" s="1861"/>
      <c r="D73" s="1861"/>
      <c r="E73" s="690">
        <f>SUM(E74:E81)</f>
        <v>0</v>
      </c>
      <c r="F73" s="427">
        <f>SUM(F74:F82)</f>
        <v>745114.80890000006</v>
      </c>
      <c r="G73" s="427">
        <f>SUM(G74:G82)</f>
        <v>745114.80890000006</v>
      </c>
      <c r="H73" s="428">
        <f t="shared" ref="H73:H85" si="3">+G73/F73*100</f>
        <v>100</v>
      </c>
      <c r="J73" s="1315"/>
      <c r="K73" s="1315"/>
      <c r="L73" s="952"/>
      <c r="M73" s="952"/>
      <c r="N73" s="952"/>
    </row>
    <row r="74" spans="1:14" s="346" customFormat="1" ht="12.75" customHeight="1" x14ac:dyDescent="0.2">
      <c r="A74" s="414"/>
      <c r="B74" s="412" t="s">
        <v>359</v>
      </c>
      <c r="C74" s="412" t="s">
        <v>193</v>
      </c>
      <c r="D74" s="374" t="s">
        <v>317</v>
      </c>
      <c r="E74" s="1301">
        <v>0</v>
      </c>
      <c r="F74" s="377">
        <f>G74</f>
        <v>376997.19941</v>
      </c>
      <c r="G74" s="377">
        <v>376997.19941</v>
      </c>
      <c r="H74" s="1298">
        <f t="shared" si="3"/>
        <v>100</v>
      </c>
      <c r="J74" s="952"/>
      <c r="K74" s="952"/>
      <c r="L74" s="952"/>
      <c r="M74" s="952"/>
      <c r="N74" s="952"/>
    </row>
    <row r="75" spans="1:14" s="346" customFormat="1" ht="12.75" customHeight="1" x14ac:dyDescent="0.2">
      <c r="A75" s="414"/>
      <c r="B75" s="412"/>
      <c r="C75" s="412" t="s">
        <v>319</v>
      </c>
      <c r="D75" s="374" t="s">
        <v>317</v>
      </c>
      <c r="E75" s="1301">
        <v>0</v>
      </c>
      <c r="F75" s="377">
        <v>243604.3835</v>
      </c>
      <c r="G75" s="377">
        <v>243604.3835</v>
      </c>
      <c r="H75" s="1298">
        <f>+G75/F75*100</f>
        <v>100</v>
      </c>
      <c r="J75" s="952"/>
      <c r="K75" s="952"/>
      <c r="L75" s="952"/>
      <c r="M75" s="952"/>
      <c r="N75" s="952"/>
    </row>
    <row r="76" spans="1:14" s="346" customFormat="1" ht="12.75" customHeight="1" x14ac:dyDescent="0.2">
      <c r="A76" s="414"/>
      <c r="B76" s="412"/>
      <c r="C76" s="412" t="s">
        <v>672</v>
      </c>
      <c r="D76" s="374" t="s">
        <v>317</v>
      </c>
      <c r="E76" s="1301">
        <v>0</v>
      </c>
      <c r="F76" s="377">
        <v>0</v>
      </c>
      <c r="G76" s="377">
        <v>0</v>
      </c>
      <c r="H76" s="1299" t="s">
        <v>75</v>
      </c>
      <c r="J76" s="952"/>
      <c r="K76" s="952"/>
      <c r="L76" s="952"/>
      <c r="M76" s="952"/>
      <c r="N76" s="952"/>
    </row>
    <row r="77" spans="1:14" s="346" customFormat="1" ht="12.75" customHeight="1" x14ac:dyDescent="0.2">
      <c r="A77" s="413"/>
      <c r="B77" s="412"/>
      <c r="C77" s="412" t="s">
        <v>194</v>
      </c>
      <c r="D77" s="374" t="s">
        <v>317</v>
      </c>
      <c r="E77" s="1301">
        <v>0</v>
      </c>
      <c r="F77" s="377">
        <f>G77</f>
        <v>72888.491550000006</v>
      </c>
      <c r="G77" s="377">
        <v>72888.491550000006</v>
      </c>
      <c r="H77" s="1298">
        <f t="shared" si="3"/>
        <v>100</v>
      </c>
      <c r="J77" s="952"/>
      <c r="K77" s="952"/>
      <c r="L77" s="952"/>
      <c r="M77" s="952"/>
      <c r="N77" s="952"/>
    </row>
    <row r="78" spans="1:14" s="346" customFormat="1" ht="12.75" customHeight="1" x14ac:dyDescent="0.2">
      <c r="A78" s="414"/>
      <c r="B78" s="412"/>
      <c r="C78" s="397" t="s">
        <v>747</v>
      </c>
      <c r="D78" s="374" t="s">
        <v>317</v>
      </c>
      <c r="E78" s="1301">
        <v>0</v>
      </c>
      <c r="F78" s="377">
        <v>3033.8029999999999</v>
      </c>
      <c r="G78" s="377">
        <v>3033.8029999999999</v>
      </c>
      <c r="H78" s="1298">
        <f>+G78/F78*100</f>
        <v>100</v>
      </c>
      <c r="J78" s="952"/>
      <c r="K78" s="952"/>
      <c r="L78" s="952"/>
      <c r="M78" s="952"/>
      <c r="N78" s="952"/>
    </row>
    <row r="79" spans="1:14" s="346" customFormat="1" ht="12.75" customHeight="1" x14ac:dyDescent="0.2">
      <c r="A79" s="414"/>
      <c r="B79" s="412"/>
      <c r="C79" s="412" t="s">
        <v>195</v>
      </c>
      <c r="D79" s="374" t="s">
        <v>317</v>
      </c>
      <c r="E79" s="1301">
        <v>0</v>
      </c>
      <c r="F79" s="377">
        <v>203</v>
      </c>
      <c r="G79" s="377">
        <v>203</v>
      </c>
      <c r="H79" s="1298">
        <f t="shared" si="3"/>
        <v>100</v>
      </c>
      <c r="J79" s="952"/>
      <c r="K79" s="952"/>
      <c r="L79" s="952"/>
      <c r="M79" s="952"/>
      <c r="N79" s="952"/>
    </row>
    <row r="80" spans="1:14" s="346" customFormat="1" ht="12.75" customHeight="1" x14ac:dyDescent="0.2">
      <c r="A80" s="414"/>
      <c r="B80" s="412"/>
      <c r="C80" s="397" t="s">
        <v>318</v>
      </c>
      <c r="D80" s="374" t="s">
        <v>317</v>
      </c>
      <c r="E80" s="1301">
        <v>0</v>
      </c>
      <c r="F80" s="377">
        <v>290.39999999999998</v>
      </c>
      <c r="G80" s="377">
        <v>290.39999999999998</v>
      </c>
      <c r="H80" s="1298">
        <f>+G80/F80*100</f>
        <v>100</v>
      </c>
      <c r="J80" s="952"/>
      <c r="K80" s="952"/>
      <c r="L80" s="952"/>
      <c r="M80" s="952"/>
      <c r="N80" s="952"/>
    </row>
    <row r="81" spans="1:14" s="346" customFormat="1" ht="12.75" customHeight="1" x14ac:dyDescent="0.2">
      <c r="A81" s="414"/>
      <c r="B81" s="412"/>
      <c r="C81" s="1294" t="s">
        <v>1730</v>
      </c>
      <c r="D81" s="374" t="s">
        <v>317</v>
      </c>
      <c r="E81" s="1301">
        <v>0</v>
      </c>
      <c r="F81" s="377">
        <v>143.13999999999999</v>
      </c>
      <c r="G81" s="377">
        <v>143.13999999999999</v>
      </c>
      <c r="H81" s="1298">
        <f t="shared" ref="H81:H82" si="4">+G81/F81*100</f>
        <v>100</v>
      </c>
      <c r="J81" s="952"/>
      <c r="K81" s="952"/>
      <c r="L81" s="1323"/>
      <c r="M81" s="952"/>
      <c r="N81" s="952"/>
    </row>
    <row r="82" spans="1:14" s="346" customFormat="1" ht="12.75" customHeight="1" x14ac:dyDescent="0.2">
      <c r="A82" s="414"/>
      <c r="B82" s="412"/>
      <c r="C82" s="1294" t="s">
        <v>1731</v>
      </c>
      <c r="D82" s="374" t="s">
        <v>317</v>
      </c>
      <c r="E82" s="1301">
        <v>0</v>
      </c>
      <c r="F82" s="377">
        <v>47954.391439999999</v>
      </c>
      <c r="G82" s="377">
        <v>47954.391439999999</v>
      </c>
      <c r="H82" s="1298">
        <f t="shared" si="4"/>
        <v>100</v>
      </c>
      <c r="I82" s="1288"/>
      <c r="J82" s="952"/>
      <c r="K82" s="952"/>
      <c r="L82" s="1323"/>
      <c r="M82" s="952"/>
      <c r="N82" s="952"/>
    </row>
    <row r="83" spans="1:14" s="346" customFormat="1" ht="12.75" customHeight="1" x14ac:dyDescent="0.2">
      <c r="A83" s="379" t="s">
        <v>357</v>
      </c>
      <c r="B83" s="385" t="s">
        <v>707</v>
      </c>
      <c r="C83" s="386"/>
      <c r="D83" s="386"/>
      <c r="E83" s="1295">
        <f>E84</f>
        <v>0</v>
      </c>
      <c r="F83" s="420">
        <f>SUM(F84:F84)</f>
        <v>0</v>
      </c>
      <c r="G83" s="420">
        <f>SUM(G84:G84)</f>
        <v>0</v>
      </c>
      <c r="H83" s="945" t="s">
        <v>75</v>
      </c>
      <c r="I83" s="1288"/>
      <c r="J83" s="952"/>
      <c r="K83" s="952"/>
      <c r="L83" s="952"/>
      <c r="M83" s="952"/>
      <c r="N83" s="952"/>
    </row>
    <row r="84" spans="1:14" s="346" customFormat="1" ht="12.75" customHeight="1" thickBot="1" x14ac:dyDescent="0.25">
      <c r="A84" s="421"/>
      <c r="B84" s="629" t="s">
        <v>359</v>
      </c>
      <c r="C84" s="398" t="s">
        <v>708</v>
      </c>
      <c r="D84" s="1291"/>
      <c r="E84" s="422">
        <v>0</v>
      </c>
      <c r="F84" s="423">
        <v>0</v>
      </c>
      <c r="G84" s="423">
        <v>0</v>
      </c>
      <c r="H84" s="1300" t="s">
        <v>75</v>
      </c>
      <c r="K84" s="946"/>
    </row>
    <row r="85" spans="1:14" s="346" customFormat="1" ht="13.5" customHeight="1" thickBot="1" x14ac:dyDescent="0.25">
      <c r="A85" s="359" t="s">
        <v>1105</v>
      </c>
      <c r="B85" s="360"/>
      <c r="C85" s="360"/>
      <c r="D85" s="361"/>
      <c r="E85" s="400">
        <f>E8+E34</f>
        <v>3187476.9899999998</v>
      </c>
      <c r="F85" s="401">
        <f>F8+F34</f>
        <v>12630417.8046</v>
      </c>
      <c r="G85" s="401">
        <f>G8+G34</f>
        <v>13563345.968200002</v>
      </c>
      <c r="H85" s="402">
        <f t="shared" si="3"/>
        <v>107.38636027749003</v>
      </c>
    </row>
    <row r="86" spans="1:14" s="346" customFormat="1" ht="12.75" customHeight="1" thickBot="1" x14ac:dyDescent="0.25">
      <c r="A86" s="359" t="s">
        <v>207</v>
      </c>
      <c r="B86" s="360"/>
      <c r="C86" s="360"/>
      <c r="D86" s="361"/>
      <c r="E86" s="362">
        <f>SUM(E87:E89)</f>
        <v>13565</v>
      </c>
      <c r="F86" s="363">
        <f>SUM(F87:F89)</f>
        <v>2248134.3078399999</v>
      </c>
      <c r="G86" s="363">
        <f>SUM(G87:G89)</f>
        <v>-517075.31983999995</v>
      </c>
      <c r="H86" s="429">
        <f>+G86/F86*100</f>
        <v>-23.000197009439542</v>
      </c>
      <c r="J86" s="949"/>
    </row>
    <row r="87" spans="1:14" s="346" customFormat="1" ht="12.75" customHeight="1" x14ac:dyDescent="0.2">
      <c r="A87" s="430" t="s">
        <v>359</v>
      </c>
      <c r="B87" s="366" t="s">
        <v>1108</v>
      </c>
      <c r="C87" s="431"/>
      <c r="D87" s="432"/>
      <c r="E87" s="950">
        <v>0</v>
      </c>
      <c r="F87" s="1858">
        <f>2248134.30784-F89</f>
        <v>2324569.3078399999</v>
      </c>
      <c r="G87" s="1862">
        <v>-440641.78554999997</v>
      </c>
      <c r="H87" s="1864">
        <f>G87/(+F87)*100</f>
        <v>-18.955846318019496</v>
      </c>
      <c r="N87" s="666"/>
    </row>
    <row r="88" spans="1:14" s="346" customFormat="1" ht="12.75" customHeight="1" x14ac:dyDescent="0.2">
      <c r="A88" s="433"/>
      <c r="B88" s="385" t="s">
        <v>1107</v>
      </c>
      <c r="C88" s="386"/>
      <c r="D88" s="387"/>
      <c r="E88" s="392">
        <v>90000</v>
      </c>
      <c r="F88" s="1859"/>
      <c r="G88" s="1863"/>
      <c r="H88" s="1865"/>
      <c r="L88" s="665"/>
    </row>
    <row r="89" spans="1:14" s="346" customFormat="1" ht="12.75" customHeight="1" thickBot="1" x14ac:dyDescent="0.25">
      <c r="A89" s="434"/>
      <c r="B89" s="385" t="s">
        <v>91</v>
      </c>
      <c r="C89" s="386"/>
      <c r="D89" s="387"/>
      <c r="E89" s="392">
        <v>-76435</v>
      </c>
      <c r="F89" s="377">
        <v>-76435</v>
      </c>
      <c r="G89" s="377">
        <v>-76433.534289999996</v>
      </c>
      <c r="H89" s="435">
        <f>+G89/F89*100</f>
        <v>99.998082409890756</v>
      </c>
      <c r="L89" s="74"/>
      <c r="M89" s="664"/>
      <c r="N89" s="664"/>
    </row>
    <row r="90" spans="1:14" s="664" customFormat="1" ht="16.5" customHeight="1" thickBot="1" x14ac:dyDescent="0.25">
      <c r="A90" s="658" t="s">
        <v>1106</v>
      </c>
      <c r="B90" s="659"/>
      <c r="C90" s="659"/>
      <c r="D90" s="660"/>
      <c r="E90" s="661">
        <f>E8+E34+E86</f>
        <v>3201041.9899999998</v>
      </c>
      <c r="F90" s="662">
        <f>F8+F34+F86</f>
        <v>14878552.112440001</v>
      </c>
      <c r="G90" s="662">
        <f>G8+G34+G86</f>
        <v>13046270.648360003</v>
      </c>
      <c r="H90" s="663"/>
      <c r="M90" s="384"/>
      <c r="N90" s="384"/>
    </row>
    <row r="91" spans="1:14" ht="14.25" x14ac:dyDescent="0.2">
      <c r="F91" s="947"/>
      <c r="J91" s="948"/>
      <c r="K91" s="570"/>
      <c r="L91" s="570"/>
      <c r="M91" s="436"/>
      <c r="N91" s="436"/>
    </row>
    <row r="92" spans="1:14" s="436" customFormat="1" ht="75" customHeight="1" x14ac:dyDescent="0.2">
      <c r="A92" s="1852" t="s">
        <v>428</v>
      </c>
      <c r="B92" s="1852"/>
      <c r="C92" s="1852"/>
      <c r="D92" s="1852"/>
      <c r="E92" s="1852"/>
      <c r="F92" s="1852"/>
      <c r="G92" s="1852"/>
      <c r="H92" s="1852"/>
      <c r="M92" s="384"/>
      <c r="N92" s="384"/>
    </row>
  </sheetData>
  <mergeCells count="15">
    <mergeCell ref="C36:D36"/>
    <mergeCell ref="A92:H92"/>
    <mergeCell ref="A3:H3"/>
    <mergeCell ref="A5:H5"/>
    <mergeCell ref="B40:D40"/>
    <mergeCell ref="A66:H66"/>
    <mergeCell ref="A68:H68"/>
    <mergeCell ref="C18:D18"/>
    <mergeCell ref="F87:F88"/>
    <mergeCell ref="B73:D73"/>
    <mergeCell ref="C72:D72"/>
    <mergeCell ref="G87:G88"/>
    <mergeCell ref="H87:H88"/>
    <mergeCell ref="C39:D39"/>
    <mergeCell ref="C38:D38"/>
  </mergeCells>
  <pageMargins left="0.59055118110236227" right="0.59055118110236227" top="0.59055118110236227" bottom="0.59055118110236227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P126"/>
  <sheetViews>
    <sheetView zoomScaleNormal="100" workbookViewId="0">
      <selection activeCell="A2" sqref="A2"/>
    </sheetView>
  </sheetViews>
  <sheetFormatPr defaultRowHeight="12.75" x14ac:dyDescent="0.2"/>
  <cols>
    <col min="1" max="1" width="5.7109375" customWidth="1"/>
    <col min="2" max="2" width="5.42578125" customWidth="1"/>
    <col min="3" max="3" width="20.85546875" customWidth="1"/>
    <col min="4" max="4" width="14.5703125" customWidth="1"/>
    <col min="5" max="5" width="11.7109375" customWidth="1"/>
    <col min="6" max="7" width="12.7109375" customWidth="1"/>
    <col min="8" max="8" width="8.140625" style="524" customWidth="1"/>
    <col min="10" max="10" width="9.42578125" style="8" bestFit="1" customWidth="1"/>
    <col min="11" max="12" width="10.140625" style="8" bestFit="1" customWidth="1"/>
    <col min="13" max="14" width="9.140625" style="8"/>
  </cols>
  <sheetData>
    <row r="1" spans="1:16" x14ac:dyDescent="0.2">
      <c r="A1" s="22"/>
      <c r="B1" s="22"/>
      <c r="C1" s="22"/>
      <c r="D1" s="22"/>
      <c r="E1" s="22"/>
      <c r="F1" s="23"/>
      <c r="G1" s="1869" t="s">
        <v>791</v>
      </c>
      <c r="H1" s="1869"/>
    </row>
    <row r="2" spans="1:16" ht="9.75" customHeight="1" x14ac:dyDescent="0.2">
      <c r="A2" s="22"/>
      <c r="B2" s="22"/>
      <c r="C2" s="22"/>
      <c r="D2" s="22"/>
      <c r="E2" s="22"/>
      <c r="F2" s="31"/>
      <c r="G2" s="22"/>
      <c r="H2" s="513"/>
    </row>
    <row r="3" spans="1:16" ht="15.75" x14ac:dyDescent="0.25">
      <c r="A3" s="1870" t="s">
        <v>851</v>
      </c>
      <c r="B3" s="1870"/>
      <c r="C3" s="1870"/>
      <c r="D3" s="1870"/>
      <c r="E3" s="1870"/>
      <c r="F3" s="1870"/>
      <c r="G3" s="1870"/>
      <c r="H3" s="1870"/>
    </row>
    <row r="4" spans="1:16" ht="9" customHeight="1" x14ac:dyDescent="0.2">
      <c r="A4" s="22"/>
      <c r="B4" s="22"/>
      <c r="C4" s="22"/>
      <c r="D4" s="22"/>
      <c r="E4" s="22"/>
      <c r="F4" s="22"/>
      <c r="G4" s="22"/>
      <c r="H4" s="513"/>
    </row>
    <row r="5" spans="1:16" ht="15.75" x14ac:dyDescent="0.25">
      <c r="A5" s="1871" t="s">
        <v>852</v>
      </c>
      <c r="B5" s="1871"/>
      <c r="C5" s="1871"/>
      <c r="D5" s="1871"/>
      <c r="E5" s="1871"/>
      <c r="F5" s="1871"/>
      <c r="G5" s="1871"/>
      <c r="H5" s="1871"/>
    </row>
    <row r="6" spans="1:16" ht="13.5" thickBot="1" x14ac:dyDescent="0.25">
      <c r="A6" s="24"/>
      <c r="B6" s="25"/>
      <c r="C6" s="25"/>
      <c r="D6" s="25"/>
      <c r="E6" s="25"/>
      <c r="F6" s="25"/>
      <c r="G6" s="22"/>
      <c r="H6" s="525" t="s">
        <v>70</v>
      </c>
    </row>
    <row r="7" spans="1:16" s="12" customFormat="1" ht="15" customHeight="1" thickBot="1" x14ac:dyDescent="0.25">
      <c r="A7" s="490" t="s">
        <v>208</v>
      </c>
      <c r="B7" s="1895" t="s">
        <v>355</v>
      </c>
      <c r="C7" s="1896"/>
      <c r="D7" s="1896"/>
      <c r="E7" s="491" t="s">
        <v>1038</v>
      </c>
      <c r="F7" s="476" t="s">
        <v>987</v>
      </c>
      <c r="G7" s="492" t="s">
        <v>85</v>
      </c>
      <c r="H7" s="493" t="s">
        <v>73</v>
      </c>
      <c r="J7" s="495"/>
      <c r="K7" s="495"/>
      <c r="L7" s="495"/>
      <c r="M7" s="495"/>
      <c r="N7" s="495"/>
    </row>
    <row r="8" spans="1:16" s="76" customFormat="1" ht="15" customHeight="1" thickBot="1" x14ac:dyDescent="0.25">
      <c r="A8" s="475">
        <v>910</v>
      </c>
      <c r="B8" s="1799" t="s">
        <v>560</v>
      </c>
      <c r="C8" s="1799"/>
      <c r="D8" s="1799"/>
      <c r="E8" s="477">
        <f>SUM(E9:E10)</f>
        <v>35729</v>
      </c>
      <c r="F8" s="477">
        <f>SUM(F9:F10)</f>
        <v>36979</v>
      </c>
      <c r="G8" s="477">
        <f>G9+G10</f>
        <v>28337.49496</v>
      </c>
      <c r="H8" s="514">
        <f>G8/F8*100</f>
        <v>76.631317666783843</v>
      </c>
      <c r="J8" s="496"/>
      <c r="K8" s="496"/>
      <c r="L8" s="496"/>
      <c r="M8" s="496"/>
      <c r="N8" s="496"/>
    </row>
    <row r="9" spans="1:16" s="123" customFormat="1" ht="12" customHeight="1" x14ac:dyDescent="0.2">
      <c r="A9" s="611">
        <v>91001</v>
      </c>
      <c r="B9" s="1905" t="s">
        <v>209</v>
      </c>
      <c r="C9" s="1905"/>
      <c r="D9" s="1905"/>
      <c r="E9" s="612">
        <v>4924.8</v>
      </c>
      <c r="F9" s="612">
        <v>4924.8</v>
      </c>
      <c r="G9" s="612">
        <v>2567.6545799999999</v>
      </c>
      <c r="H9" s="613">
        <f t="shared" ref="H9:H84" si="0">G9/F9*100</f>
        <v>52.137235623781677</v>
      </c>
      <c r="J9" s="498"/>
      <c r="K9" s="760"/>
      <c r="L9" s="760"/>
      <c r="M9" s="760"/>
      <c r="N9" s="498"/>
      <c r="O9" s="498"/>
      <c r="P9" s="498"/>
    </row>
    <row r="10" spans="1:16" s="123" customFormat="1" ht="25.5" customHeight="1" thickBot="1" x14ac:dyDescent="0.25">
      <c r="A10" s="614">
        <v>91015</v>
      </c>
      <c r="B10" s="1906" t="s">
        <v>561</v>
      </c>
      <c r="C10" s="1907"/>
      <c r="D10" s="1908"/>
      <c r="E10" s="615">
        <v>30804.2</v>
      </c>
      <c r="F10" s="615">
        <v>32054.2</v>
      </c>
      <c r="G10" s="615">
        <v>25769.840380000001</v>
      </c>
      <c r="H10" s="521">
        <f t="shared" si="0"/>
        <v>80.394582862776176</v>
      </c>
      <c r="J10" s="498"/>
      <c r="K10" s="760"/>
      <c r="L10" s="760"/>
      <c r="M10" s="760"/>
      <c r="N10" s="498"/>
      <c r="O10" s="498"/>
      <c r="P10" s="498"/>
    </row>
    <row r="11" spans="1:16" s="76" customFormat="1" ht="15" customHeight="1" thickBot="1" x14ac:dyDescent="0.25">
      <c r="A11" s="480">
        <v>911</v>
      </c>
      <c r="B11" s="1799" t="s">
        <v>562</v>
      </c>
      <c r="C11" s="1799"/>
      <c r="D11" s="1799"/>
      <c r="E11" s="477">
        <f>E12</f>
        <v>325331.84999999998</v>
      </c>
      <c r="F11" s="477">
        <f>F12</f>
        <v>328224.32498999999</v>
      </c>
      <c r="G11" s="477">
        <f>G12</f>
        <v>291602.37964</v>
      </c>
      <c r="H11" s="514">
        <f t="shared" si="0"/>
        <v>88.842403636258297</v>
      </c>
      <c r="J11" s="496"/>
      <c r="K11" s="496"/>
      <c r="L11" s="496"/>
      <c r="M11" s="496"/>
      <c r="N11" s="496"/>
      <c r="O11" s="496"/>
      <c r="P11" s="496"/>
    </row>
    <row r="12" spans="1:16" s="123" customFormat="1" ht="12" customHeight="1" thickBot="1" x14ac:dyDescent="0.25">
      <c r="A12" s="485">
        <v>91115</v>
      </c>
      <c r="B12" s="1787" t="s">
        <v>210</v>
      </c>
      <c r="C12" s="1787"/>
      <c r="D12" s="1787"/>
      <c r="E12" s="616">
        <v>325331.84999999998</v>
      </c>
      <c r="F12" s="617">
        <v>328224.32498999999</v>
      </c>
      <c r="G12" s="616">
        <v>291602.37964</v>
      </c>
      <c r="H12" s="519">
        <f>G12/F12*100</f>
        <v>88.842403636258297</v>
      </c>
      <c r="J12" s="498"/>
      <c r="K12" s="498"/>
      <c r="L12" s="498"/>
      <c r="M12" s="498"/>
      <c r="N12" s="498"/>
    </row>
    <row r="13" spans="1:16" s="76" customFormat="1" ht="15" customHeight="1" thickBot="1" x14ac:dyDescent="0.25">
      <c r="A13" s="480">
        <v>912</v>
      </c>
      <c r="B13" s="1799" t="s">
        <v>563</v>
      </c>
      <c r="C13" s="1799"/>
      <c r="D13" s="1799"/>
      <c r="E13" s="477">
        <f>SUM(E14:E19)</f>
        <v>23250</v>
      </c>
      <c r="F13" s="477">
        <f>SUM(F14:F19)</f>
        <v>134724.549</v>
      </c>
      <c r="G13" s="477">
        <f>SUM(G14:G19)</f>
        <v>70398.569050000006</v>
      </c>
      <c r="H13" s="514">
        <f t="shared" si="0"/>
        <v>52.253705484662639</v>
      </c>
      <c r="J13" s="496"/>
      <c r="K13" s="496"/>
      <c r="L13" s="496"/>
      <c r="M13" s="496"/>
      <c r="N13" s="496"/>
    </row>
    <row r="14" spans="1:16" s="123" customFormat="1" ht="12" customHeight="1" x14ac:dyDescent="0.2">
      <c r="A14" s="478">
        <v>91204</v>
      </c>
      <c r="B14" s="1904" t="s">
        <v>564</v>
      </c>
      <c r="C14" s="1904"/>
      <c r="D14" s="1902"/>
      <c r="E14" s="610">
        <v>5100</v>
      </c>
      <c r="F14" s="610">
        <v>34346.663999999997</v>
      </c>
      <c r="G14" s="610">
        <v>22356.717550000001</v>
      </c>
      <c r="H14" s="515">
        <f t="shared" si="0"/>
        <v>65.091379908104045</v>
      </c>
      <c r="J14" s="498"/>
      <c r="K14" s="498"/>
      <c r="L14" s="498"/>
      <c r="M14" s="498"/>
      <c r="N14" s="498"/>
    </row>
    <row r="15" spans="1:16" s="123" customFormat="1" ht="12" customHeight="1" x14ac:dyDescent="0.2">
      <c r="A15" s="482">
        <v>91205</v>
      </c>
      <c r="B15" s="1872" t="s">
        <v>222</v>
      </c>
      <c r="C15" s="1872"/>
      <c r="D15" s="1897"/>
      <c r="E15" s="601">
        <v>5000</v>
      </c>
      <c r="F15" s="601">
        <v>15229.233</v>
      </c>
      <c r="G15" s="601">
        <v>10712.2917</v>
      </c>
      <c r="H15" s="518">
        <f t="shared" si="0"/>
        <v>70.340323114105601</v>
      </c>
      <c r="J15" s="498"/>
      <c r="K15" s="498"/>
      <c r="L15" s="498"/>
      <c r="M15" s="498"/>
      <c r="N15" s="498"/>
    </row>
    <row r="16" spans="1:16" s="123" customFormat="1" ht="12" customHeight="1" x14ac:dyDescent="0.2">
      <c r="A16" s="482">
        <v>91206</v>
      </c>
      <c r="B16" s="1872" t="s">
        <v>211</v>
      </c>
      <c r="C16" s="1872"/>
      <c r="D16" s="1897"/>
      <c r="E16" s="601">
        <v>6950</v>
      </c>
      <c r="F16" s="601">
        <v>55259</v>
      </c>
      <c r="G16" s="601">
        <v>29124.905770000001</v>
      </c>
      <c r="H16" s="518">
        <f t="shared" si="0"/>
        <v>52.706175953238386</v>
      </c>
      <c r="J16" s="498"/>
      <c r="K16" s="498"/>
      <c r="L16" s="498"/>
      <c r="M16" s="498"/>
      <c r="N16" s="498"/>
    </row>
    <row r="17" spans="1:14" s="123" customFormat="1" ht="12" customHeight="1" x14ac:dyDescent="0.2">
      <c r="A17" s="482">
        <v>91207</v>
      </c>
      <c r="B17" s="1872" t="s">
        <v>565</v>
      </c>
      <c r="C17" s="1872"/>
      <c r="D17" s="1897"/>
      <c r="E17" s="601">
        <v>4200</v>
      </c>
      <c r="F17" s="601">
        <v>13980.742</v>
      </c>
      <c r="G17" s="601">
        <v>8179.6540299999997</v>
      </c>
      <c r="H17" s="518">
        <f t="shared" si="0"/>
        <v>58.506580194384526</v>
      </c>
      <c r="J17" s="498"/>
      <c r="K17" s="498"/>
      <c r="L17" s="498"/>
      <c r="M17" s="498"/>
      <c r="N17" s="498"/>
    </row>
    <row r="18" spans="1:14" s="123" customFormat="1" ht="12" customHeight="1" x14ac:dyDescent="0.2">
      <c r="A18" s="488">
        <v>91208</v>
      </c>
      <c r="B18" s="737" t="s">
        <v>848</v>
      </c>
      <c r="C18" s="738"/>
      <c r="D18" s="738"/>
      <c r="E18" s="601">
        <v>0</v>
      </c>
      <c r="F18" s="601">
        <v>172.66</v>
      </c>
      <c r="G18" s="601">
        <v>0</v>
      </c>
      <c r="H18" s="518">
        <f t="shared" si="0"/>
        <v>0</v>
      </c>
      <c r="J18" s="498"/>
      <c r="K18" s="498"/>
      <c r="L18" s="498"/>
      <c r="M18" s="498"/>
      <c r="N18" s="498"/>
    </row>
    <row r="19" spans="1:14" s="123" customFormat="1" ht="12" customHeight="1" thickBot="1" x14ac:dyDescent="0.25">
      <c r="A19" s="618">
        <v>91209</v>
      </c>
      <c r="B19" s="1788" t="s">
        <v>212</v>
      </c>
      <c r="C19" s="1866"/>
      <c r="D19" s="1866"/>
      <c r="E19" s="617">
        <v>2000</v>
      </c>
      <c r="F19" s="617">
        <v>15736.25</v>
      </c>
      <c r="G19" s="617">
        <v>25</v>
      </c>
      <c r="H19" s="518">
        <f t="shared" si="0"/>
        <v>0.15886885376122012</v>
      </c>
      <c r="J19" s="498"/>
      <c r="K19" s="498"/>
      <c r="L19" s="498"/>
      <c r="M19" s="498"/>
      <c r="N19" s="498"/>
    </row>
    <row r="20" spans="1:14" s="12" customFormat="1" ht="15" customHeight="1" thickBot="1" x14ac:dyDescent="0.25">
      <c r="A20" s="480">
        <v>913</v>
      </c>
      <c r="B20" s="1799" t="s">
        <v>566</v>
      </c>
      <c r="C20" s="1799"/>
      <c r="D20" s="1799"/>
      <c r="E20" s="484">
        <f>SUM(E21:E27)</f>
        <v>1083152.8600000001</v>
      </c>
      <c r="F20" s="477">
        <f>SUM(F21:F27)</f>
        <v>1182886.8571900001</v>
      </c>
      <c r="G20" s="484">
        <f>SUM(G21:G27)</f>
        <v>1178615.4543900001</v>
      </c>
      <c r="H20" s="514">
        <f t="shared" si="0"/>
        <v>99.638900138754863</v>
      </c>
      <c r="I20" s="71"/>
      <c r="J20" s="495"/>
      <c r="K20" s="495"/>
      <c r="L20" s="495"/>
      <c r="M20" s="495"/>
      <c r="N20" s="495"/>
    </row>
    <row r="21" spans="1:14" s="123" customFormat="1" ht="12" customHeight="1" x14ac:dyDescent="0.2">
      <c r="A21" s="478">
        <v>91304</v>
      </c>
      <c r="B21" s="1904" t="s">
        <v>564</v>
      </c>
      <c r="C21" s="1904"/>
      <c r="D21" s="1904"/>
      <c r="E21" s="610">
        <v>276009.84999999998</v>
      </c>
      <c r="F21" s="610">
        <v>270858.46500000003</v>
      </c>
      <c r="G21" s="610">
        <v>270792.00219999999</v>
      </c>
      <c r="H21" s="515">
        <f t="shared" si="0"/>
        <v>99.975462166190738</v>
      </c>
      <c r="J21" s="760"/>
      <c r="K21" s="760"/>
      <c r="L21" s="765"/>
      <c r="M21" s="498"/>
      <c r="N21" s="498"/>
    </row>
    <row r="22" spans="1:14" s="123" customFormat="1" ht="12" customHeight="1" x14ac:dyDescent="0.2">
      <c r="A22" s="482">
        <v>91305</v>
      </c>
      <c r="B22" s="1872" t="s">
        <v>222</v>
      </c>
      <c r="C22" s="1872"/>
      <c r="D22" s="1872"/>
      <c r="E22" s="601">
        <v>138663.17000000001</v>
      </c>
      <c r="F22" s="601">
        <v>146887.75219</v>
      </c>
      <c r="G22" s="601">
        <v>146887.75219</v>
      </c>
      <c r="H22" s="518">
        <f t="shared" si="0"/>
        <v>100</v>
      </c>
      <c r="J22" s="760"/>
      <c r="K22" s="760"/>
      <c r="L22" s="765"/>
      <c r="M22" s="498"/>
      <c r="N22" s="498"/>
    </row>
    <row r="23" spans="1:14" s="123" customFormat="1" ht="12" customHeight="1" x14ac:dyDescent="0.2">
      <c r="A23" s="482">
        <v>91306</v>
      </c>
      <c r="B23" s="1872" t="s">
        <v>211</v>
      </c>
      <c r="C23" s="1872"/>
      <c r="D23" s="1872"/>
      <c r="E23" s="601">
        <v>311136</v>
      </c>
      <c r="F23" s="601">
        <v>364776</v>
      </c>
      <c r="G23" s="601">
        <v>364776</v>
      </c>
      <c r="H23" s="518">
        <f t="shared" si="0"/>
        <v>100</v>
      </c>
      <c r="J23" s="760"/>
      <c r="K23" s="760"/>
      <c r="L23" s="765"/>
      <c r="M23" s="498"/>
      <c r="N23" s="498"/>
    </row>
    <row r="24" spans="1:14" s="123" customFormat="1" ht="12" customHeight="1" x14ac:dyDescent="0.2">
      <c r="A24" s="482">
        <v>91307</v>
      </c>
      <c r="B24" s="1872" t="s">
        <v>565</v>
      </c>
      <c r="C24" s="1872"/>
      <c r="D24" s="1872"/>
      <c r="E24" s="601">
        <v>131980.79999999999</v>
      </c>
      <c r="F24" s="601">
        <v>134447.79999999999</v>
      </c>
      <c r="G24" s="601">
        <v>134447.79999999999</v>
      </c>
      <c r="H24" s="518">
        <f t="shared" si="0"/>
        <v>100</v>
      </c>
      <c r="J24" s="760"/>
      <c r="K24" s="760"/>
      <c r="L24" s="765"/>
      <c r="M24" s="498"/>
      <c r="N24" s="498"/>
    </row>
    <row r="25" spans="1:14" s="123" customFormat="1" ht="12" customHeight="1" x14ac:dyDescent="0.2">
      <c r="A25" s="482">
        <v>91308</v>
      </c>
      <c r="B25" s="1872" t="s">
        <v>567</v>
      </c>
      <c r="C25" s="1872"/>
      <c r="D25" s="1872"/>
      <c r="E25" s="601">
        <v>5760</v>
      </c>
      <c r="F25" s="601">
        <v>5760</v>
      </c>
      <c r="G25" s="601">
        <v>5760</v>
      </c>
      <c r="H25" s="518">
        <f t="shared" si="0"/>
        <v>100</v>
      </c>
      <c r="J25" s="760"/>
      <c r="K25" s="760"/>
      <c r="L25" s="765"/>
      <c r="M25" s="498"/>
      <c r="N25" s="498"/>
    </row>
    <row r="26" spans="1:14" s="123" customFormat="1" ht="12" customHeight="1" x14ac:dyDescent="0.2">
      <c r="A26" s="482">
        <v>91309</v>
      </c>
      <c r="B26" s="1872" t="s">
        <v>212</v>
      </c>
      <c r="C26" s="1872"/>
      <c r="D26" s="1872"/>
      <c r="E26" s="601">
        <v>208103.04000000001</v>
      </c>
      <c r="F26" s="601">
        <v>248656.84</v>
      </c>
      <c r="G26" s="601">
        <v>248656.84</v>
      </c>
      <c r="H26" s="518">
        <f t="shared" si="0"/>
        <v>100</v>
      </c>
      <c r="J26" s="760"/>
      <c r="K26" s="760"/>
      <c r="L26" s="765"/>
      <c r="M26" s="498"/>
      <c r="N26" s="498"/>
    </row>
    <row r="27" spans="1:14" s="123" customFormat="1" ht="12" customHeight="1" thickBot="1" x14ac:dyDescent="0.25">
      <c r="A27" s="479">
        <v>91318</v>
      </c>
      <c r="B27" s="1909" t="s">
        <v>668</v>
      </c>
      <c r="C27" s="1909"/>
      <c r="D27" s="1909"/>
      <c r="E27" s="619">
        <v>11500</v>
      </c>
      <c r="F27" s="619">
        <v>11500</v>
      </c>
      <c r="G27" s="619">
        <v>7295.06</v>
      </c>
      <c r="H27" s="516">
        <f t="shared" si="0"/>
        <v>63.43530434782609</v>
      </c>
      <c r="J27" s="760"/>
      <c r="K27" s="760"/>
      <c r="L27" s="765"/>
      <c r="M27" s="498"/>
      <c r="N27" s="498"/>
    </row>
    <row r="28" spans="1:14" s="76" customFormat="1" ht="15" customHeight="1" thickBot="1" x14ac:dyDescent="0.25">
      <c r="A28" s="480">
        <v>914</v>
      </c>
      <c r="B28" s="1820" t="s">
        <v>711</v>
      </c>
      <c r="C28" s="1821"/>
      <c r="D28" s="1822"/>
      <c r="E28" s="477">
        <f>SUM(E29:E44)</f>
        <v>903642.97999999986</v>
      </c>
      <c r="F28" s="477">
        <f>SUM(F29:F44)</f>
        <v>1161064.1450200002</v>
      </c>
      <c r="G28" s="477">
        <f t="shared" ref="G28" si="1">SUM(G29:G44)</f>
        <v>1081236.8831700003</v>
      </c>
      <c r="H28" s="514">
        <f>G28/F28*100</f>
        <v>93.124646713758892</v>
      </c>
      <c r="J28" s="496"/>
      <c r="K28" s="496"/>
      <c r="L28" s="496"/>
      <c r="M28" s="496"/>
      <c r="N28" s="496"/>
    </row>
    <row r="29" spans="1:14" s="123" customFormat="1" ht="12" customHeight="1" x14ac:dyDescent="0.2">
      <c r="A29" s="478">
        <v>91401</v>
      </c>
      <c r="B29" s="1904" t="s">
        <v>278</v>
      </c>
      <c r="C29" s="1904"/>
      <c r="D29" s="1904"/>
      <c r="E29" s="610">
        <v>14568.2</v>
      </c>
      <c r="F29" s="610">
        <v>14612.61305</v>
      </c>
      <c r="G29" s="610">
        <v>8961.7688600000001</v>
      </c>
      <c r="H29" s="515">
        <f t="shared" si="0"/>
        <v>61.328995911514951</v>
      </c>
      <c r="J29" s="765"/>
      <c r="K29" s="765"/>
      <c r="L29" s="765"/>
      <c r="M29" s="498"/>
      <c r="N29" s="498"/>
    </row>
    <row r="30" spans="1:14" s="123" customFormat="1" ht="12" customHeight="1" x14ac:dyDescent="0.2">
      <c r="A30" s="482">
        <v>91402</v>
      </c>
      <c r="B30" s="1872" t="s">
        <v>217</v>
      </c>
      <c r="C30" s="1872"/>
      <c r="D30" s="1872"/>
      <c r="E30" s="601">
        <v>8100.5</v>
      </c>
      <c r="F30" s="601">
        <v>8823.4549999999999</v>
      </c>
      <c r="G30" s="601">
        <v>5478.9047300000002</v>
      </c>
      <c r="H30" s="518">
        <f t="shared" si="0"/>
        <v>62.09477727262167</v>
      </c>
      <c r="J30" s="765"/>
      <c r="K30" s="765"/>
      <c r="L30" s="765"/>
      <c r="M30" s="498"/>
      <c r="N30" s="498"/>
    </row>
    <row r="31" spans="1:14" s="123" customFormat="1" ht="12" customHeight="1" x14ac:dyDescent="0.2">
      <c r="A31" s="482">
        <v>91403</v>
      </c>
      <c r="B31" s="1872" t="s">
        <v>213</v>
      </c>
      <c r="C31" s="1872"/>
      <c r="D31" s="1872"/>
      <c r="E31" s="601">
        <v>11540</v>
      </c>
      <c r="F31" s="601">
        <v>23775.24</v>
      </c>
      <c r="G31" s="601">
        <v>15334.190980000001</v>
      </c>
      <c r="H31" s="518">
        <f t="shared" si="0"/>
        <v>64.496471875783385</v>
      </c>
      <c r="J31" s="765"/>
      <c r="K31" s="765"/>
      <c r="L31" s="765"/>
      <c r="M31" s="498"/>
      <c r="N31" s="498"/>
    </row>
    <row r="32" spans="1:14" s="123" customFormat="1" ht="12" customHeight="1" x14ac:dyDescent="0.2">
      <c r="A32" s="482">
        <v>91404</v>
      </c>
      <c r="B32" s="1872" t="s">
        <v>568</v>
      </c>
      <c r="C32" s="1872"/>
      <c r="D32" s="1872"/>
      <c r="E32" s="601">
        <v>5220</v>
      </c>
      <c r="F32" s="601">
        <v>6498.9189999999999</v>
      </c>
      <c r="G32" s="601">
        <v>3575.3924700000002</v>
      </c>
      <c r="H32" s="518">
        <f t="shared" si="0"/>
        <v>55.015187448866499</v>
      </c>
      <c r="J32" s="765"/>
      <c r="K32" s="765"/>
      <c r="L32" s="765"/>
      <c r="M32" s="498"/>
      <c r="N32" s="498"/>
    </row>
    <row r="33" spans="1:14" s="123" customFormat="1" ht="12" customHeight="1" x14ac:dyDescent="0.2">
      <c r="A33" s="482">
        <v>91405</v>
      </c>
      <c r="B33" s="1872" t="s">
        <v>225</v>
      </c>
      <c r="C33" s="1872"/>
      <c r="D33" s="1872"/>
      <c r="E33" s="601">
        <v>9755</v>
      </c>
      <c r="F33" s="601">
        <v>15448.468999999999</v>
      </c>
      <c r="G33" s="601">
        <v>8334.7696400000004</v>
      </c>
      <c r="H33" s="518">
        <f t="shared" si="0"/>
        <v>53.952075380414719</v>
      </c>
      <c r="J33" s="765"/>
      <c r="K33" s="765"/>
      <c r="L33" s="765"/>
      <c r="M33" s="498"/>
      <c r="N33" s="498"/>
    </row>
    <row r="34" spans="1:14" s="123" customFormat="1" ht="12" customHeight="1" x14ac:dyDescent="0.2">
      <c r="A34" s="482">
        <v>91406</v>
      </c>
      <c r="B34" s="1872" t="s">
        <v>849</v>
      </c>
      <c r="C34" s="1872"/>
      <c r="D34" s="1872"/>
      <c r="E34" s="601">
        <v>761990.34</v>
      </c>
      <c r="F34" s="601">
        <v>325741.80900000001</v>
      </c>
      <c r="G34" s="601">
        <v>324698.40954000002</v>
      </c>
      <c r="H34" s="518">
        <f t="shared" si="0"/>
        <v>99.679685127554507</v>
      </c>
      <c r="J34" s="765"/>
      <c r="K34" s="765"/>
      <c r="L34" s="765"/>
      <c r="M34" s="498"/>
      <c r="N34" s="498"/>
    </row>
    <row r="35" spans="1:14" s="123" customFormat="1" ht="12" customHeight="1" x14ac:dyDescent="0.2">
      <c r="A35" s="482">
        <v>91407</v>
      </c>
      <c r="B35" s="1872" t="s">
        <v>281</v>
      </c>
      <c r="C35" s="1872"/>
      <c r="D35" s="1872"/>
      <c r="E35" s="601">
        <v>11764</v>
      </c>
      <c r="F35" s="601">
        <v>12993.39997</v>
      </c>
      <c r="G35" s="601">
        <v>11528.98684</v>
      </c>
      <c r="H35" s="518">
        <f t="shared" si="0"/>
        <v>88.729561674533741</v>
      </c>
      <c r="J35" s="765"/>
      <c r="K35" s="765"/>
      <c r="L35" s="765"/>
      <c r="M35" s="498"/>
      <c r="N35" s="498"/>
    </row>
    <row r="36" spans="1:14" s="123" customFormat="1" ht="12" customHeight="1" x14ac:dyDescent="0.2">
      <c r="A36" s="482">
        <v>91408</v>
      </c>
      <c r="B36" s="1872" t="s">
        <v>282</v>
      </c>
      <c r="C36" s="1872"/>
      <c r="D36" s="1872"/>
      <c r="E36" s="601">
        <v>8633.7000000000007</v>
      </c>
      <c r="F36" s="601">
        <v>10365.846</v>
      </c>
      <c r="G36" s="601">
        <v>5900.9687800000002</v>
      </c>
      <c r="H36" s="518">
        <f t="shared" si="0"/>
        <v>56.927034995503512</v>
      </c>
      <c r="J36" s="765"/>
      <c r="K36" s="765"/>
      <c r="L36" s="765"/>
      <c r="M36" s="498"/>
      <c r="N36" s="498"/>
    </row>
    <row r="37" spans="1:14" s="123" customFormat="1" ht="12" customHeight="1" x14ac:dyDescent="0.2">
      <c r="A37" s="482">
        <v>91409</v>
      </c>
      <c r="B37" s="1872" t="s">
        <v>283</v>
      </c>
      <c r="C37" s="1872"/>
      <c r="D37" s="1872"/>
      <c r="E37" s="601">
        <v>3767.33</v>
      </c>
      <c r="F37" s="601">
        <v>4263.83</v>
      </c>
      <c r="G37" s="601">
        <v>2614.00549</v>
      </c>
      <c r="H37" s="518">
        <f t="shared" si="0"/>
        <v>61.306512923826709</v>
      </c>
      <c r="J37" s="765"/>
      <c r="K37" s="765"/>
      <c r="L37" s="765"/>
      <c r="M37" s="498"/>
      <c r="N37" s="498"/>
    </row>
    <row r="38" spans="1:14" s="123" customFormat="1" ht="12" customHeight="1" x14ac:dyDescent="0.2">
      <c r="A38" s="482">
        <v>91410</v>
      </c>
      <c r="B38" s="1872" t="s">
        <v>569</v>
      </c>
      <c r="C38" s="1872"/>
      <c r="D38" s="1872"/>
      <c r="E38" s="601">
        <v>4750</v>
      </c>
      <c r="F38" s="601">
        <v>7250</v>
      </c>
      <c r="G38" s="601">
        <v>5032.0504299999993</v>
      </c>
      <c r="H38" s="518">
        <f t="shared" si="0"/>
        <v>69.407592137931033</v>
      </c>
      <c r="J38" s="765"/>
      <c r="K38" s="765"/>
      <c r="L38" s="765"/>
      <c r="M38" s="498"/>
      <c r="N38" s="498"/>
    </row>
    <row r="39" spans="1:14" s="123" customFormat="1" ht="12" customHeight="1" x14ac:dyDescent="0.2">
      <c r="A39" s="482">
        <v>91411</v>
      </c>
      <c r="B39" s="1872" t="s">
        <v>284</v>
      </c>
      <c r="C39" s="1872"/>
      <c r="D39" s="1872"/>
      <c r="E39" s="601">
        <v>365</v>
      </c>
      <c r="F39" s="601">
        <v>365</v>
      </c>
      <c r="G39" s="601">
        <v>1.248</v>
      </c>
      <c r="H39" s="518">
        <f t="shared" si="0"/>
        <v>0.34191780821917811</v>
      </c>
      <c r="J39" s="765"/>
      <c r="K39" s="765"/>
      <c r="L39" s="765"/>
      <c r="M39" s="498"/>
      <c r="N39" s="498"/>
    </row>
    <row r="40" spans="1:14" s="123" customFormat="1" ht="12" customHeight="1" x14ac:dyDescent="0.2">
      <c r="A40" s="482">
        <v>91412</v>
      </c>
      <c r="B40" s="1872" t="s">
        <v>214</v>
      </c>
      <c r="C40" s="1872"/>
      <c r="D40" s="1872"/>
      <c r="E40" s="601">
        <v>43538.91</v>
      </c>
      <c r="F40" s="601">
        <v>43774.457000000002</v>
      </c>
      <c r="G40" s="601">
        <v>20341.954890000001</v>
      </c>
      <c r="H40" s="518">
        <f t="shared" si="0"/>
        <v>46.469919409851272</v>
      </c>
      <c r="J40" s="765"/>
      <c r="K40" s="765"/>
      <c r="L40" s="765"/>
      <c r="M40" s="498"/>
      <c r="N40" s="498"/>
    </row>
    <row r="41" spans="1:14" s="123" customFormat="1" ht="12" customHeight="1" x14ac:dyDescent="0.2">
      <c r="A41" s="482">
        <v>91414</v>
      </c>
      <c r="B41" s="1872" t="s">
        <v>216</v>
      </c>
      <c r="C41" s="1872"/>
      <c r="D41" s="1872"/>
      <c r="E41" s="601">
        <v>4250</v>
      </c>
      <c r="F41" s="601">
        <v>4250</v>
      </c>
      <c r="G41" s="601">
        <v>947.67919999999992</v>
      </c>
      <c r="H41" s="518">
        <f t="shared" si="0"/>
        <v>22.298334117647055</v>
      </c>
      <c r="J41" s="765"/>
      <c r="K41" s="765"/>
      <c r="L41" s="765"/>
      <c r="M41" s="498"/>
      <c r="N41" s="498"/>
    </row>
    <row r="42" spans="1:14" s="123" customFormat="1" ht="12" customHeight="1" x14ac:dyDescent="0.2">
      <c r="A42" s="482">
        <v>91415</v>
      </c>
      <c r="B42" s="1872" t="s">
        <v>218</v>
      </c>
      <c r="C42" s="1872"/>
      <c r="D42" s="1872"/>
      <c r="E42" s="601">
        <v>12400</v>
      </c>
      <c r="F42" s="601">
        <v>12400</v>
      </c>
      <c r="G42" s="601">
        <v>5451.0244599999996</v>
      </c>
      <c r="H42" s="518">
        <f t="shared" si="0"/>
        <v>43.95987467741935</v>
      </c>
      <c r="J42" s="765"/>
      <c r="K42" s="765"/>
      <c r="L42" s="765"/>
      <c r="M42" s="498"/>
      <c r="N42" s="498"/>
    </row>
    <row r="43" spans="1:14" s="123" customFormat="1" ht="12" customHeight="1" x14ac:dyDescent="0.2">
      <c r="A43" s="482">
        <v>91420</v>
      </c>
      <c r="B43" s="1872" t="s">
        <v>777</v>
      </c>
      <c r="C43" s="1872"/>
      <c r="D43" s="1872"/>
      <c r="E43" s="601">
        <v>3000</v>
      </c>
      <c r="F43" s="601">
        <v>3000</v>
      </c>
      <c r="G43" s="601">
        <v>535.95399999999995</v>
      </c>
      <c r="H43" s="518">
        <f>G43/F43*100</f>
        <v>17.865133333333333</v>
      </c>
      <c r="J43" s="765"/>
      <c r="K43" s="765"/>
      <c r="L43" s="765"/>
      <c r="M43" s="498"/>
      <c r="N43" s="498"/>
    </row>
    <row r="44" spans="1:14" s="123" customFormat="1" ht="12" customHeight="1" thickBot="1" x14ac:dyDescent="0.25">
      <c r="A44" s="481">
        <v>91421</v>
      </c>
      <c r="B44" s="1899" t="s">
        <v>850</v>
      </c>
      <c r="C44" s="1900"/>
      <c r="D44" s="1901"/>
      <c r="E44" s="499">
        <v>0</v>
      </c>
      <c r="F44" s="499">
        <v>667501.10699999996</v>
      </c>
      <c r="G44" s="499">
        <v>662499.57486000005</v>
      </c>
      <c r="H44" s="518">
        <f t="shared" si="0"/>
        <v>99.250708038151629</v>
      </c>
      <c r="J44" s="765"/>
      <c r="K44" s="765"/>
      <c r="L44" s="765"/>
      <c r="M44" s="498"/>
      <c r="N44" s="498"/>
    </row>
    <row r="45" spans="1:14" s="76" customFormat="1" ht="15" customHeight="1" thickBot="1" x14ac:dyDescent="0.25">
      <c r="A45" s="480">
        <v>915</v>
      </c>
      <c r="B45" s="1799" t="s">
        <v>837</v>
      </c>
      <c r="C45" s="1799"/>
      <c r="D45" s="1799"/>
      <c r="E45" s="477">
        <f>SUM(E46:E49)</f>
        <v>11190</v>
      </c>
      <c r="F45" s="477">
        <f>SUM(F46:F49)</f>
        <v>11240</v>
      </c>
      <c r="G45" s="477">
        <f t="shared" ref="G45" si="2">SUM(G46:G49)</f>
        <v>10227.871650000001</v>
      </c>
      <c r="H45" s="514">
        <f>G45/F45*100</f>
        <v>90.9952993772242</v>
      </c>
      <c r="J45" s="496"/>
      <c r="K45" s="496"/>
      <c r="L45" s="496"/>
      <c r="M45" s="496"/>
      <c r="N45" s="496"/>
    </row>
    <row r="46" spans="1:14" s="123" customFormat="1" ht="12" customHeight="1" x14ac:dyDescent="0.2">
      <c r="A46" s="482">
        <v>91501</v>
      </c>
      <c r="B46" s="1904" t="s">
        <v>278</v>
      </c>
      <c r="C46" s="1904"/>
      <c r="D46" s="1904"/>
      <c r="E46" s="612">
        <v>650</v>
      </c>
      <c r="F46" s="612">
        <v>650</v>
      </c>
      <c r="G46" s="612">
        <v>600</v>
      </c>
      <c r="H46" s="518">
        <f t="shared" ref="H46:H49" si="3">G46/F46*100</f>
        <v>92.307692307692307</v>
      </c>
      <c r="J46" s="765"/>
      <c r="K46" s="765"/>
      <c r="L46" s="765"/>
      <c r="M46" s="498"/>
      <c r="N46" s="498"/>
    </row>
    <row r="47" spans="1:14" s="123" customFormat="1" ht="12" customHeight="1" x14ac:dyDescent="0.2">
      <c r="A47" s="482">
        <v>91504</v>
      </c>
      <c r="B47" s="1872" t="s">
        <v>568</v>
      </c>
      <c r="C47" s="1872"/>
      <c r="D47" s="1872"/>
      <c r="E47" s="610">
        <v>5980</v>
      </c>
      <c r="F47" s="610">
        <v>6330</v>
      </c>
      <c r="G47" s="610">
        <v>5367.87165</v>
      </c>
      <c r="H47" s="518">
        <f t="shared" si="3"/>
        <v>84.8005</v>
      </c>
      <c r="J47" s="765"/>
      <c r="K47" s="765"/>
      <c r="L47" s="765"/>
      <c r="M47" s="498"/>
      <c r="N47" s="498"/>
    </row>
    <row r="48" spans="1:14" s="123" customFormat="1" ht="12" customHeight="1" x14ac:dyDescent="0.2">
      <c r="A48" s="482">
        <v>91507</v>
      </c>
      <c r="B48" s="1872" t="s">
        <v>281</v>
      </c>
      <c r="C48" s="1872"/>
      <c r="D48" s="1872"/>
      <c r="E48" s="601">
        <v>4460</v>
      </c>
      <c r="F48" s="601">
        <v>4160</v>
      </c>
      <c r="G48" s="601">
        <v>4160</v>
      </c>
      <c r="H48" s="518">
        <f t="shared" si="3"/>
        <v>100</v>
      </c>
      <c r="J48" s="765"/>
      <c r="K48" s="765"/>
      <c r="L48" s="765"/>
      <c r="M48" s="498"/>
      <c r="N48" s="498"/>
    </row>
    <row r="49" spans="1:14" s="123" customFormat="1" ht="12" customHeight="1" thickBot="1" x14ac:dyDescent="0.25">
      <c r="A49" s="482">
        <v>91508</v>
      </c>
      <c r="B49" s="1872" t="s">
        <v>282</v>
      </c>
      <c r="C49" s="1872"/>
      <c r="D49" s="1872"/>
      <c r="E49" s="601">
        <v>100</v>
      </c>
      <c r="F49" s="601">
        <v>100</v>
      </c>
      <c r="G49" s="601">
        <v>100</v>
      </c>
      <c r="H49" s="518">
        <f t="shared" si="3"/>
        <v>100</v>
      </c>
      <c r="J49" s="765"/>
      <c r="K49" s="765"/>
      <c r="L49" s="765"/>
      <c r="M49" s="498"/>
      <c r="N49" s="498"/>
    </row>
    <row r="50" spans="1:14" s="76" customFormat="1" ht="15" customHeight="1" thickBot="1" x14ac:dyDescent="0.25">
      <c r="A50" s="480">
        <v>916</v>
      </c>
      <c r="B50" s="1799" t="s">
        <v>570</v>
      </c>
      <c r="C50" s="1799"/>
      <c r="D50" s="1799"/>
      <c r="E50" s="477">
        <f>E51</f>
        <v>0</v>
      </c>
      <c r="F50" s="477">
        <f>F51</f>
        <v>7319395.9940600004</v>
      </c>
      <c r="G50" s="477">
        <f>G51</f>
        <v>7315318.1210599998</v>
      </c>
      <c r="H50" s="514">
        <f t="shared" si="0"/>
        <v>99.944286755310003</v>
      </c>
      <c r="J50" s="496"/>
      <c r="K50" s="496"/>
      <c r="L50" s="496"/>
      <c r="M50" s="496"/>
      <c r="N50" s="496"/>
    </row>
    <row r="51" spans="1:14" s="123" customFormat="1" ht="12" customHeight="1" thickBot="1" x14ac:dyDescent="0.25">
      <c r="A51" s="485">
        <v>91604</v>
      </c>
      <c r="B51" s="1787" t="s">
        <v>568</v>
      </c>
      <c r="C51" s="1787"/>
      <c r="D51" s="1787"/>
      <c r="E51" s="486">
        <v>0</v>
      </c>
      <c r="F51" s="486">
        <v>7319395.9940600004</v>
      </c>
      <c r="G51" s="486">
        <v>7315318.1210599998</v>
      </c>
      <c r="H51" s="519">
        <f t="shared" si="0"/>
        <v>99.944286755310003</v>
      </c>
      <c r="J51" s="498"/>
      <c r="K51" s="498"/>
      <c r="L51" s="498"/>
      <c r="M51" s="498"/>
      <c r="N51" s="498"/>
    </row>
    <row r="52" spans="1:14" s="458" customFormat="1" ht="15" customHeight="1" thickBot="1" x14ac:dyDescent="0.25">
      <c r="A52" s="480">
        <v>917</v>
      </c>
      <c r="B52" s="1797" t="s">
        <v>571</v>
      </c>
      <c r="C52" s="1796"/>
      <c r="D52" s="1796"/>
      <c r="E52" s="477">
        <f>SUM(E53:E61)</f>
        <v>158755.15</v>
      </c>
      <c r="F52" s="477">
        <f>SUM(F53:F61)</f>
        <v>1321288.7000000002</v>
      </c>
      <c r="G52" s="477">
        <f>SUM(G53:G61)</f>
        <v>1265274.1774899999</v>
      </c>
      <c r="H52" s="514">
        <f t="shared" si="0"/>
        <v>95.760614428171507</v>
      </c>
      <c r="J52" s="497"/>
      <c r="K52" s="497"/>
      <c r="L52" s="497"/>
      <c r="M52" s="497"/>
      <c r="N52" s="497"/>
    </row>
    <row r="53" spans="1:14" s="123" customFormat="1" ht="12" customHeight="1" x14ac:dyDescent="0.2">
      <c r="A53" s="487">
        <v>91701</v>
      </c>
      <c r="B53" s="1902" t="s">
        <v>278</v>
      </c>
      <c r="C53" s="1903"/>
      <c r="D53" s="1903"/>
      <c r="E53" s="610">
        <v>11500</v>
      </c>
      <c r="F53" s="610">
        <v>12200</v>
      </c>
      <c r="G53" s="610">
        <v>10738.875</v>
      </c>
      <c r="H53" s="515">
        <f t="shared" si="0"/>
        <v>88.023565573770497</v>
      </c>
      <c r="J53" s="760"/>
      <c r="K53" s="760"/>
      <c r="L53" s="760"/>
      <c r="M53" s="498"/>
      <c r="N53" s="498"/>
    </row>
    <row r="54" spans="1:14" s="123" customFormat="1" ht="12" customHeight="1" x14ac:dyDescent="0.2">
      <c r="A54" s="482">
        <v>91702</v>
      </c>
      <c r="B54" s="1902" t="s">
        <v>217</v>
      </c>
      <c r="C54" s="1903"/>
      <c r="D54" s="1903"/>
      <c r="E54" s="601">
        <v>20516</v>
      </c>
      <c r="F54" s="601">
        <v>20509</v>
      </c>
      <c r="G54" s="601">
        <v>18623.512420000003</v>
      </c>
      <c r="H54" s="518">
        <f t="shared" si="0"/>
        <v>90.806535764786204</v>
      </c>
      <c r="J54" s="760"/>
      <c r="K54" s="760"/>
      <c r="L54" s="760"/>
      <c r="M54" s="498"/>
      <c r="N54" s="498"/>
    </row>
    <row r="55" spans="1:14" s="123" customFormat="1" ht="12" customHeight="1" x14ac:dyDescent="0.2">
      <c r="A55" s="488">
        <v>91704</v>
      </c>
      <c r="B55" s="1897" t="s">
        <v>568</v>
      </c>
      <c r="C55" s="1898"/>
      <c r="D55" s="1898"/>
      <c r="E55" s="601">
        <v>9280</v>
      </c>
      <c r="F55" s="601">
        <v>35888.25</v>
      </c>
      <c r="G55" s="601">
        <v>25787.906709999999</v>
      </c>
      <c r="H55" s="518">
        <f t="shared" si="0"/>
        <v>71.856127590506631</v>
      </c>
      <c r="J55" s="760"/>
      <c r="K55" s="760"/>
      <c r="L55" s="760"/>
      <c r="M55" s="498"/>
      <c r="N55" s="498"/>
    </row>
    <row r="56" spans="1:14" s="123" customFormat="1" ht="12" customHeight="1" x14ac:dyDescent="0.2">
      <c r="A56" s="488">
        <v>91705</v>
      </c>
      <c r="B56" s="1897" t="s">
        <v>225</v>
      </c>
      <c r="C56" s="1898"/>
      <c r="D56" s="1898"/>
      <c r="E56" s="601">
        <v>17255</v>
      </c>
      <c r="F56" s="601">
        <v>1060343.1000000001</v>
      </c>
      <c r="G56" s="601">
        <v>1057461.5618199999</v>
      </c>
      <c r="H56" s="518">
        <f t="shared" si="0"/>
        <v>99.728244737010101</v>
      </c>
      <c r="J56" s="760"/>
      <c r="K56" s="760"/>
      <c r="L56" s="760"/>
      <c r="M56" s="498"/>
      <c r="N56" s="498"/>
    </row>
    <row r="57" spans="1:14" s="123" customFormat="1" ht="12" customHeight="1" x14ac:dyDescent="0.2">
      <c r="A57" s="488">
        <v>91706</v>
      </c>
      <c r="B57" s="1872" t="s">
        <v>849</v>
      </c>
      <c r="C57" s="1872"/>
      <c r="D57" s="1872"/>
      <c r="E57" s="601">
        <v>35700</v>
      </c>
      <c r="F57" s="601">
        <v>59458.33</v>
      </c>
      <c r="G57" s="601">
        <v>48629.472759999997</v>
      </c>
      <c r="H57" s="518">
        <f t="shared" si="0"/>
        <v>81.787485050454649</v>
      </c>
      <c r="J57" s="760"/>
      <c r="K57" s="760"/>
      <c r="L57" s="760"/>
      <c r="M57" s="498"/>
      <c r="N57" s="498"/>
    </row>
    <row r="58" spans="1:14" s="123" customFormat="1" ht="12" customHeight="1" x14ac:dyDescent="0.2">
      <c r="A58" s="734">
        <v>91707</v>
      </c>
      <c r="B58" s="1891" t="s">
        <v>281</v>
      </c>
      <c r="C58" s="1892"/>
      <c r="D58" s="1892"/>
      <c r="E58" s="601">
        <v>14039.5</v>
      </c>
      <c r="F58" s="601">
        <v>39988.410000000003</v>
      </c>
      <c r="G58" s="601">
        <v>33152.962510000005</v>
      </c>
      <c r="H58" s="518">
        <f t="shared" si="0"/>
        <v>82.906428412632565</v>
      </c>
      <c r="J58" s="760"/>
      <c r="K58" s="760"/>
      <c r="L58" s="760"/>
      <c r="M58" s="498"/>
      <c r="N58" s="498"/>
    </row>
    <row r="59" spans="1:14" s="123" customFormat="1" ht="12" customHeight="1" x14ac:dyDescent="0.2">
      <c r="A59" s="488">
        <v>91708</v>
      </c>
      <c r="B59" s="1897" t="s">
        <v>282</v>
      </c>
      <c r="C59" s="1898"/>
      <c r="D59" s="1898"/>
      <c r="E59" s="601">
        <v>5864.65</v>
      </c>
      <c r="F59" s="601">
        <v>9202.9599999999991</v>
      </c>
      <c r="G59" s="601">
        <v>7969.9621699999998</v>
      </c>
      <c r="H59" s="518">
        <f t="shared" si="0"/>
        <v>86.602160283213237</v>
      </c>
      <c r="J59" s="760"/>
      <c r="K59" s="760"/>
      <c r="L59" s="760"/>
      <c r="M59" s="498"/>
      <c r="N59" s="498"/>
    </row>
    <row r="60" spans="1:14" s="123" customFormat="1" ht="12" customHeight="1" x14ac:dyDescent="0.2">
      <c r="A60" s="488">
        <v>91709</v>
      </c>
      <c r="B60" s="1897" t="s">
        <v>283</v>
      </c>
      <c r="C60" s="1898"/>
      <c r="D60" s="1898"/>
      <c r="E60" s="601">
        <v>44600</v>
      </c>
      <c r="F60" s="601">
        <v>52040.12</v>
      </c>
      <c r="G60" s="601">
        <v>51598.299100000004</v>
      </c>
      <c r="H60" s="518">
        <f t="shared" si="0"/>
        <v>99.150999459647664</v>
      </c>
      <c r="J60" s="760"/>
      <c r="K60" s="760"/>
      <c r="L60" s="760"/>
      <c r="M60" s="498"/>
      <c r="N60" s="498"/>
    </row>
    <row r="61" spans="1:14" s="123" customFormat="1" ht="12" customHeight="1" thickBot="1" x14ac:dyDescent="0.25">
      <c r="A61" s="735">
        <v>91721</v>
      </c>
      <c r="B61" s="1899" t="s">
        <v>850</v>
      </c>
      <c r="C61" s="1900"/>
      <c r="D61" s="1901"/>
      <c r="E61" s="617">
        <v>0</v>
      </c>
      <c r="F61" s="617">
        <v>31658.53</v>
      </c>
      <c r="G61" s="617">
        <v>11311.625</v>
      </c>
      <c r="H61" s="521">
        <f t="shared" si="0"/>
        <v>35.730101808264628</v>
      </c>
      <c r="J61" s="760"/>
      <c r="K61" s="760"/>
      <c r="L61" s="760"/>
      <c r="M61" s="498"/>
      <c r="N61" s="498"/>
    </row>
    <row r="62" spans="1:14" s="341" customFormat="1" x14ac:dyDescent="0.2">
      <c r="A62" s="22"/>
      <c r="B62" s="22"/>
      <c r="C62" s="22"/>
      <c r="D62" s="22"/>
      <c r="E62" s="22"/>
      <c r="F62" s="23"/>
      <c r="G62" s="1869" t="s">
        <v>792</v>
      </c>
      <c r="H62" s="1869"/>
      <c r="J62" s="503"/>
      <c r="K62" s="503"/>
      <c r="L62" s="503"/>
      <c r="M62" s="503"/>
      <c r="N62" s="503"/>
    </row>
    <row r="63" spans="1:14" s="341" customFormat="1" ht="6.75" customHeight="1" x14ac:dyDescent="0.2">
      <c r="A63" s="22"/>
      <c r="B63" s="22"/>
      <c r="C63" s="22"/>
      <c r="D63" s="22"/>
      <c r="E63" s="22"/>
      <c r="F63" s="31"/>
      <c r="G63" s="22"/>
      <c r="H63" s="513"/>
      <c r="J63" s="503"/>
      <c r="K63" s="503"/>
      <c r="L63" s="503"/>
      <c r="M63" s="503"/>
      <c r="N63" s="503"/>
    </row>
    <row r="64" spans="1:14" ht="15.75" x14ac:dyDescent="0.25">
      <c r="A64" s="1870" t="s">
        <v>851</v>
      </c>
      <c r="B64" s="1870"/>
      <c r="C64" s="1870"/>
      <c r="D64" s="1870"/>
      <c r="E64" s="1870"/>
      <c r="F64" s="1870"/>
      <c r="G64" s="1870"/>
      <c r="H64" s="1870"/>
    </row>
    <row r="65" spans="1:14" ht="9.75" customHeight="1" x14ac:dyDescent="0.2">
      <c r="A65" s="22"/>
      <c r="B65" s="22"/>
      <c r="C65" s="22"/>
      <c r="D65" s="22"/>
      <c r="E65" s="22"/>
      <c r="F65" s="22"/>
      <c r="G65" s="22"/>
      <c r="H65" s="513"/>
    </row>
    <row r="66" spans="1:14" ht="15.75" x14ac:dyDescent="0.25">
      <c r="A66" s="1871" t="s">
        <v>852</v>
      </c>
      <c r="B66" s="1871"/>
      <c r="C66" s="1871"/>
      <c r="D66" s="1871"/>
      <c r="E66" s="1871"/>
      <c r="F66" s="1871"/>
      <c r="G66" s="1871"/>
      <c r="H66" s="1871"/>
    </row>
    <row r="67" spans="1:14" ht="13.5" thickBot="1" x14ac:dyDescent="0.25">
      <c r="A67" s="24"/>
      <c r="B67" s="25"/>
      <c r="C67" s="25"/>
      <c r="D67" s="25"/>
      <c r="E67" s="25"/>
      <c r="F67" s="25"/>
      <c r="G67" s="22"/>
      <c r="H67" s="525" t="s">
        <v>70</v>
      </c>
    </row>
    <row r="68" spans="1:14" s="12" customFormat="1" ht="15" customHeight="1" thickBot="1" x14ac:dyDescent="0.25">
      <c r="A68" s="490" t="s">
        <v>208</v>
      </c>
      <c r="B68" s="1895" t="s">
        <v>355</v>
      </c>
      <c r="C68" s="1896"/>
      <c r="D68" s="1896"/>
      <c r="E68" s="491" t="s">
        <v>1038</v>
      </c>
      <c r="F68" s="476" t="s">
        <v>987</v>
      </c>
      <c r="G68" s="492" t="s">
        <v>85</v>
      </c>
      <c r="H68" s="493" t="s">
        <v>73</v>
      </c>
      <c r="J68" s="495"/>
      <c r="K68" s="495"/>
      <c r="L68" s="495"/>
      <c r="M68" s="495"/>
      <c r="N68" s="495"/>
    </row>
    <row r="69" spans="1:14" s="458" customFormat="1" ht="17.25" customHeight="1" thickBot="1" x14ac:dyDescent="0.25">
      <c r="A69" s="489">
        <v>919</v>
      </c>
      <c r="B69" s="1797" t="s">
        <v>572</v>
      </c>
      <c r="C69" s="1796"/>
      <c r="D69" s="1796"/>
      <c r="E69" s="477">
        <f>E70</f>
        <v>43200</v>
      </c>
      <c r="F69" s="477">
        <f>F70</f>
        <v>28454.23</v>
      </c>
      <c r="G69" s="477">
        <v>0</v>
      </c>
      <c r="H69" s="514">
        <f>G69/F69*100</f>
        <v>0</v>
      </c>
      <c r="J69" s="497"/>
      <c r="K69" s="497"/>
      <c r="L69" s="497"/>
      <c r="M69" s="497"/>
      <c r="N69" s="497"/>
    </row>
    <row r="70" spans="1:14" s="123" customFormat="1" ht="12" customHeight="1" thickBot="1" x14ac:dyDescent="0.25">
      <c r="A70" s="485">
        <v>91903</v>
      </c>
      <c r="B70" s="1787" t="s">
        <v>573</v>
      </c>
      <c r="C70" s="1787"/>
      <c r="D70" s="1787"/>
      <c r="E70" s="617">
        <v>43200</v>
      </c>
      <c r="F70" s="617">
        <v>28454.23</v>
      </c>
      <c r="G70" s="617">
        <v>0</v>
      </c>
      <c r="H70" s="519">
        <f>G70/F70*100</f>
        <v>0</v>
      </c>
      <c r="J70" s="498"/>
      <c r="K70" s="498"/>
      <c r="L70" s="498"/>
      <c r="M70" s="498"/>
      <c r="N70" s="498"/>
    </row>
    <row r="71" spans="1:14" s="458" customFormat="1" ht="17.25" customHeight="1" thickBot="1" x14ac:dyDescent="0.25">
      <c r="A71" s="480">
        <v>920</v>
      </c>
      <c r="B71" s="1803" t="s">
        <v>683</v>
      </c>
      <c r="C71" s="1803"/>
      <c r="D71" s="1803"/>
      <c r="E71" s="494">
        <f>SUM(E72:E80)</f>
        <v>300920.28000000003</v>
      </c>
      <c r="F71" s="494">
        <f>SUM(F72:F80)</f>
        <v>1352248.0414499999</v>
      </c>
      <c r="G71" s="494">
        <f>SUM(G72:G80)</f>
        <v>794758.84202999994</v>
      </c>
      <c r="H71" s="514">
        <f t="shared" si="0"/>
        <v>58.77315534343753</v>
      </c>
      <c r="J71" s="497"/>
      <c r="K71" s="497"/>
      <c r="L71" s="497"/>
      <c r="M71" s="497"/>
      <c r="N71" s="497"/>
    </row>
    <row r="72" spans="1:14" s="123" customFormat="1" ht="12" customHeight="1" x14ac:dyDescent="0.2">
      <c r="A72" s="509">
        <v>92004</v>
      </c>
      <c r="B72" s="1868" t="s">
        <v>568</v>
      </c>
      <c r="C72" s="1868"/>
      <c r="D72" s="1868"/>
      <c r="E72" s="601">
        <v>20000</v>
      </c>
      <c r="F72" s="601">
        <v>31606.432000000001</v>
      </c>
      <c r="G72" s="601">
        <v>0</v>
      </c>
      <c r="H72" s="518">
        <f t="shared" si="0"/>
        <v>0</v>
      </c>
      <c r="J72" s="761"/>
      <c r="K72" s="762"/>
      <c r="L72" s="762"/>
      <c r="M72" s="498"/>
      <c r="N72" s="498"/>
    </row>
    <row r="73" spans="1:14" s="123" customFormat="1" ht="12" customHeight="1" x14ac:dyDescent="0.2">
      <c r="A73" s="509">
        <v>92005</v>
      </c>
      <c r="B73" s="1868" t="s">
        <v>225</v>
      </c>
      <c r="C73" s="1868"/>
      <c r="D73" s="1868"/>
      <c r="E73" s="601">
        <v>25000</v>
      </c>
      <c r="F73" s="601">
        <v>25029.040000000001</v>
      </c>
      <c r="G73" s="601">
        <v>925.31</v>
      </c>
      <c r="H73" s="518">
        <f t="shared" si="0"/>
        <v>3.6969456279585629</v>
      </c>
      <c r="J73" s="761"/>
      <c r="K73" s="762"/>
      <c r="L73" s="762"/>
      <c r="M73" s="498"/>
      <c r="N73" s="498"/>
    </row>
    <row r="74" spans="1:14" s="123" customFormat="1" ht="12" customHeight="1" x14ac:dyDescent="0.2">
      <c r="A74" s="509">
        <v>92006</v>
      </c>
      <c r="B74" s="1872" t="s">
        <v>849</v>
      </c>
      <c r="C74" s="1872"/>
      <c r="D74" s="1872"/>
      <c r="E74" s="601">
        <v>115000</v>
      </c>
      <c r="F74" s="601">
        <v>820815.38615000003</v>
      </c>
      <c r="G74" s="601">
        <v>554571.40178999992</v>
      </c>
      <c r="H74" s="518">
        <f t="shared" si="0"/>
        <v>67.563475435224689</v>
      </c>
      <c r="J74" s="761"/>
      <c r="K74" s="762"/>
      <c r="L74" s="762"/>
      <c r="M74" s="498"/>
      <c r="N74" s="498"/>
    </row>
    <row r="75" spans="1:14" s="123" customFormat="1" ht="12" customHeight="1" x14ac:dyDescent="0.2">
      <c r="A75" s="509">
        <v>92008</v>
      </c>
      <c r="B75" s="1876" t="s">
        <v>282</v>
      </c>
      <c r="C75" s="1877"/>
      <c r="D75" s="1878"/>
      <c r="E75" s="601">
        <v>1792.5</v>
      </c>
      <c r="F75" s="601">
        <v>5775.2013999999999</v>
      </c>
      <c r="G75" s="601">
        <v>975.40519999999992</v>
      </c>
      <c r="H75" s="518">
        <f t="shared" si="0"/>
        <v>16.889544319614551</v>
      </c>
      <c r="J75" s="761"/>
      <c r="K75" s="762"/>
      <c r="L75" s="762"/>
      <c r="M75" s="498"/>
      <c r="N75" s="498"/>
    </row>
    <row r="76" spans="1:14" s="123" customFormat="1" ht="12" customHeight="1" x14ac:dyDescent="0.2">
      <c r="A76" s="509">
        <v>92009</v>
      </c>
      <c r="B76" s="1868" t="s">
        <v>283</v>
      </c>
      <c r="C76" s="1868"/>
      <c r="D76" s="1868"/>
      <c r="E76" s="601">
        <v>112777.78</v>
      </c>
      <c r="F76" s="601">
        <v>144066.12322000001</v>
      </c>
      <c r="G76" s="601">
        <v>107066.12122</v>
      </c>
      <c r="H76" s="518">
        <f t="shared" si="0"/>
        <v>74.317347358963659</v>
      </c>
      <c r="J76" s="761"/>
      <c r="K76" s="762"/>
      <c r="L76" s="762"/>
      <c r="M76" s="498"/>
      <c r="N76" s="498"/>
    </row>
    <row r="77" spans="1:14" s="123" customFormat="1" ht="12" customHeight="1" x14ac:dyDescent="0.2">
      <c r="A77" s="509">
        <v>92011</v>
      </c>
      <c r="B77" s="1868" t="s">
        <v>284</v>
      </c>
      <c r="C77" s="1868"/>
      <c r="D77" s="1868"/>
      <c r="E77" s="601">
        <v>500</v>
      </c>
      <c r="F77" s="601">
        <v>500</v>
      </c>
      <c r="G77" s="601">
        <v>430.76</v>
      </c>
      <c r="H77" s="518">
        <f t="shared" si="0"/>
        <v>86.152000000000001</v>
      </c>
      <c r="J77" s="761"/>
      <c r="K77" s="762"/>
      <c r="L77" s="762"/>
      <c r="M77" s="498"/>
      <c r="N77" s="498"/>
    </row>
    <row r="78" spans="1:14" s="123" customFormat="1" ht="12" customHeight="1" x14ac:dyDescent="0.2">
      <c r="A78" s="509">
        <v>92012</v>
      </c>
      <c r="B78" s="1868" t="s">
        <v>214</v>
      </c>
      <c r="C78" s="1868"/>
      <c r="D78" s="1868"/>
      <c r="E78" s="601">
        <v>8500</v>
      </c>
      <c r="F78" s="601">
        <v>18724.379000000001</v>
      </c>
      <c r="G78" s="601">
        <v>11487.522199999999</v>
      </c>
      <c r="H78" s="518">
        <f t="shared" si="0"/>
        <v>61.350617822892815</v>
      </c>
      <c r="J78" s="761"/>
      <c r="K78" s="762"/>
      <c r="L78" s="762"/>
      <c r="M78" s="498"/>
      <c r="N78" s="498"/>
    </row>
    <row r="79" spans="1:14" s="123" customFormat="1" ht="12" customHeight="1" x14ac:dyDescent="0.2">
      <c r="A79" s="509">
        <v>92014</v>
      </c>
      <c r="B79" s="1868" t="s">
        <v>216</v>
      </c>
      <c r="C79" s="1868"/>
      <c r="D79" s="1868"/>
      <c r="E79" s="601">
        <v>350</v>
      </c>
      <c r="F79" s="601">
        <v>261273.97967999999</v>
      </c>
      <c r="G79" s="601">
        <v>117717.64148999999</v>
      </c>
      <c r="H79" s="518">
        <f t="shared" si="0"/>
        <v>45.055248760009242</v>
      </c>
      <c r="J79" s="761"/>
      <c r="K79" s="762"/>
      <c r="L79" s="762"/>
      <c r="M79" s="498"/>
      <c r="N79" s="498"/>
    </row>
    <row r="80" spans="1:14" s="123" customFormat="1" ht="12" customHeight="1" thickBot="1" x14ac:dyDescent="0.25">
      <c r="A80" s="509">
        <v>92015</v>
      </c>
      <c r="B80" s="1868" t="s">
        <v>218</v>
      </c>
      <c r="C80" s="1868"/>
      <c r="D80" s="1868"/>
      <c r="E80" s="601">
        <v>17000</v>
      </c>
      <c r="F80" s="601">
        <v>44457.5</v>
      </c>
      <c r="G80" s="601">
        <v>1584.68013</v>
      </c>
      <c r="H80" s="518">
        <f t="shared" si="0"/>
        <v>3.5644832255524936</v>
      </c>
      <c r="J80" s="761"/>
      <c r="K80" s="762"/>
      <c r="L80" s="762"/>
      <c r="M80" s="498"/>
      <c r="N80" s="498"/>
    </row>
    <row r="81" spans="1:14" s="123" customFormat="1" ht="14.25" customHeight="1" thickBot="1" x14ac:dyDescent="0.25">
      <c r="A81" s="480">
        <v>921</v>
      </c>
      <c r="B81" s="1799" t="s">
        <v>778</v>
      </c>
      <c r="C81" s="1799"/>
      <c r="D81" s="1799"/>
      <c r="E81" s="477">
        <f>E82</f>
        <v>0</v>
      </c>
      <c r="F81" s="477">
        <f>F82</f>
        <v>0</v>
      </c>
      <c r="G81" s="477">
        <f>G82</f>
        <v>0</v>
      </c>
      <c r="H81" s="1327" t="s">
        <v>75</v>
      </c>
      <c r="J81" s="622"/>
      <c r="K81" s="498"/>
      <c r="L81" s="498"/>
      <c r="M81" s="498"/>
      <c r="N81" s="498"/>
    </row>
    <row r="82" spans="1:14" s="123" customFormat="1" ht="12" customHeight="1" thickBot="1" x14ac:dyDescent="0.25">
      <c r="A82" s="485">
        <v>92104</v>
      </c>
      <c r="B82" s="1787" t="s">
        <v>568</v>
      </c>
      <c r="C82" s="1787"/>
      <c r="D82" s="1787"/>
      <c r="E82" s="486">
        <v>0</v>
      </c>
      <c r="F82" s="486">
        <v>0</v>
      </c>
      <c r="G82" s="486">
        <v>0</v>
      </c>
      <c r="H82" s="1328" t="s">
        <v>75</v>
      </c>
      <c r="J82" s="622"/>
      <c r="K82" s="498"/>
      <c r="L82" s="498"/>
      <c r="M82" s="498"/>
      <c r="N82" s="498"/>
    </row>
    <row r="83" spans="1:14" s="497" customFormat="1" ht="14.25" customHeight="1" thickBot="1" x14ac:dyDescent="0.25">
      <c r="A83" s="480">
        <v>923</v>
      </c>
      <c r="B83" s="1799" t="s">
        <v>574</v>
      </c>
      <c r="C83" s="1799"/>
      <c r="D83" s="1799"/>
      <c r="E83" s="494">
        <f>SUM(E84:E92)</f>
        <v>180000</v>
      </c>
      <c r="F83" s="494">
        <f>SUM(F84:F92)</f>
        <v>1697868.7894699997</v>
      </c>
      <c r="G83" s="494">
        <f>SUM(G84:G92)</f>
        <v>837907.89253000007</v>
      </c>
      <c r="H83" s="514">
        <f>G83/F83*100</f>
        <v>49.350568060772133</v>
      </c>
    </row>
    <row r="84" spans="1:14" s="12" customFormat="1" ht="12" customHeight="1" x14ac:dyDescent="0.2">
      <c r="A84" s="500">
        <v>92302</v>
      </c>
      <c r="B84" s="1873" t="s">
        <v>217</v>
      </c>
      <c r="C84" s="1873"/>
      <c r="D84" s="1873"/>
      <c r="E84" s="601">
        <v>7210.33</v>
      </c>
      <c r="F84" s="601">
        <v>170007.17939</v>
      </c>
      <c r="G84" s="601">
        <v>105396.19012999999</v>
      </c>
      <c r="H84" s="518">
        <f t="shared" si="0"/>
        <v>61.99514073945015</v>
      </c>
      <c r="J84" s="760"/>
      <c r="K84" s="760"/>
      <c r="L84" s="760"/>
      <c r="M84" s="495"/>
      <c r="N84" s="766"/>
    </row>
    <row r="85" spans="1:14" s="12" customFormat="1" ht="12" customHeight="1" x14ac:dyDescent="0.2">
      <c r="A85" s="509">
        <v>92303</v>
      </c>
      <c r="B85" s="1868" t="s">
        <v>213</v>
      </c>
      <c r="C85" s="1868"/>
      <c r="D85" s="1868"/>
      <c r="E85" s="601">
        <v>0</v>
      </c>
      <c r="F85" s="601">
        <v>286237.41901999997</v>
      </c>
      <c r="G85" s="601">
        <v>2294.7333799999997</v>
      </c>
      <c r="H85" s="518">
        <f t="shared" ref="H85:H113" si="4">G85/F85*100</f>
        <v>0.8016888175754765</v>
      </c>
      <c r="J85" s="760"/>
      <c r="K85" s="760"/>
      <c r="L85" s="760"/>
      <c r="M85" s="495"/>
      <c r="N85" s="766"/>
    </row>
    <row r="86" spans="1:14" s="12" customFormat="1" ht="12" customHeight="1" x14ac:dyDescent="0.2">
      <c r="A86" s="509">
        <v>92304</v>
      </c>
      <c r="B86" s="1880" t="s">
        <v>568</v>
      </c>
      <c r="C86" s="1880"/>
      <c r="D86" s="1880"/>
      <c r="E86" s="601">
        <v>4467</v>
      </c>
      <c r="F86" s="601">
        <v>114553.81473</v>
      </c>
      <c r="G86" s="601">
        <v>96091.976800000004</v>
      </c>
      <c r="H86" s="518">
        <f t="shared" si="4"/>
        <v>83.883698702209088</v>
      </c>
      <c r="J86" s="760"/>
      <c r="K86" s="760"/>
      <c r="L86" s="760"/>
      <c r="M86" s="495"/>
      <c r="N86" s="766"/>
    </row>
    <row r="87" spans="1:14" s="12" customFormat="1" ht="12" customHeight="1" x14ac:dyDescent="0.2">
      <c r="A87" s="509">
        <v>92305</v>
      </c>
      <c r="B87" s="1880" t="s">
        <v>225</v>
      </c>
      <c r="C87" s="1880"/>
      <c r="D87" s="1880"/>
      <c r="E87" s="601">
        <v>0</v>
      </c>
      <c r="F87" s="601">
        <v>8475.8029000000006</v>
      </c>
      <c r="G87" s="601">
        <v>3422.8714799999998</v>
      </c>
      <c r="H87" s="518">
        <f t="shared" si="4"/>
        <v>40.384038189467567</v>
      </c>
      <c r="J87" s="760"/>
      <c r="K87" s="760"/>
      <c r="L87" s="760"/>
      <c r="M87" s="495"/>
      <c r="N87" s="766"/>
    </row>
    <row r="88" spans="1:14" s="12" customFormat="1" ht="12" customHeight="1" x14ac:dyDescent="0.2">
      <c r="A88" s="509">
        <v>92306</v>
      </c>
      <c r="B88" s="1872" t="s">
        <v>849</v>
      </c>
      <c r="C88" s="1872"/>
      <c r="D88" s="1872"/>
      <c r="E88" s="601">
        <v>78017.8</v>
      </c>
      <c r="F88" s="601">
        <v>440299.8</v>
      </c>
      <c r="G88" s="601">
        <v>294964.51276000001</v>
      </c>
      <c r="H88" s="518">
        <f t="shared" si="4"/>
        <v>66.991743525661391</v>
      </c>
      <c r="J88" s="760"/>
      <c r="K88" s="760"/>
      <c r="L88" s="760"/>
      <c r="M88" s="495"/>
      <c r="N88" s="766"/>
    </row>
    <row r="89" spans="1:14" s="12" customFormat="1" ht="12" customHeight="1" x14ac:dyDescent="0.2">
      <c r="A89" s="509">
        <v>92307</v>
      </c>
      <c r="B89" s="1880" t="s">
        <v>281</v>
      </c>
      <c r="C89" s="1880"/>
      <c r="D89" s="1880"/>
      <c r="E89" s="601">
        <v>2842.19</v>
      </c>
      <c r="F89" s="601">
        <v>6525.2179100000003</v>
      </c>
      <c r="G89" s="601">
        <v>6442.0975499999995</v>
      </c>
      <c r="H89" s="518">
        <f t="shared" si="4"/>
        <v>98.726167292089713</v>
      </c>
      <c r="J89" s="760"/>
      <c r="K89" s="760"/>
      <c r="L89" s="760"/>
      <c r="M89" s="495"/>
      <c r="N89" s="766"/>
    </row>
    <row r="90" spans="1:14" s="12" customFormat="1" ht="12" customHeight="1" x14ac:dyDescent="0.2">
      <c r="A90" s="509">
        <v>92309</v>
      </c>
      <c r="B90" s="1876" t="s">
        <v>283</v>
      </c>
      <c r="C90" s="1877"/>
      <c r="D90" s="1878"/>
      <c r="E90" s="601">
        <v>0</v>
      </c>
      <c r="F90" s="601">
        <v>6.7558499999999997</v>
      </c>
      <c r="G90" s="601">
        <v>6.7558500000000006</v>
      </c>
      <c r="H90" s="518">
        <f t="shared" ref="H90:H91" si="5">G90/F90*100</f>
        <v>100.00000000000003</v>
      </c>
      <c r="J90" s="760"/>
      <c r="K90" s="760"/>
      <c r="L90" s="760"/>
      <c r="M90" s="495"/>
      <c r="N90" s="766"/>
    </row>
    <row r="91" spans="1:14" s="12" customFormat="1" ht="12" customHeight="1" x14ac:dyDescent="0.2">
      <c r="A91" s="509">
        <v>92314</v>
      </c>
      <c r="B91" s="736" t="s">
        <v>216</v>
      </c>
      <c r="C91" s="736"/>
      <c r="D91" s="736"/>
      <c r="E91" s="601">
        <v>87462.68</v>
      </c>
      <c r="F91" s="601">
        <v>668312.79966999998</v>
      </c>
      <c r="G91" s="601">
        <v>329000.47841000004</v>
      </c>
      <c r="H91" s="518">
        <f t="shared" si="5"/>
        <v>49.228516732352603</v>
      </c>
      <c r="J91" s="760"/>
      <c r="K91" s="760"/>
      <c r="L91" s="760"/>
      <c r="M91" s="495"/>
      <c r="N91" s="766"/>
    </row>
    <row r="92" spans="1:14" s="12" customFormat="1" ht="12" customHeight="1" thickBot="1" x14ac:dyDescent="0.25">
      <c r="A92" s="763">
        <v>92321</v>
      </c>
      <c r="B92" s="1788" t="s">
        <v>850</v>
      </c>
      <c r="C92" s="1866"/>
      <c r="D92" s="1867"/>
      <c r="E92" s="617">
        <v>0</v>
      </c>
      <c r="F92" s="617">
        <v>3450</v>
      </c>
      <c r="G92" s="617">
        <v>288.27616999999998</v>
      </c>
      <c r="H92" s="519">
        <f t="shared" si="4"/>
        <v>8.3558310144927521</v>
      </c>
      <c r="J92" s="760"/>
      <c r="K92" s="760"/>
      <c r="L92" s="760"/>
      <c r="M92" s="495"/>
      <c r="N92" s="766"/>
    </row>
    <row r="93" spans="1:14" s="497" customFormat="1" ht="15" customHeight="1" thickBot="1" x14ac:dyDescent="0.25">
      <c r="A93" s="480">
        <v>924</v>
      </c>
      <c r="B93" s="1799" t="s">
        <v>575</v>
      </c>
      <c r="C93" s="1799"/>
      <c r="D93" s="1799"/>
      <c r="E93" s="494">
        <f>SUM(E94:E95)</f>
        <v>5800</v>
      </c>
      <c r="F93" s="494">
        <f>SUM(F94:F95)</f>
        <v>7897.5</v>
      </c>
      <c r="G93" s="494">
        <f>SUM(G94:G95)</f>
        <v>2467.00216</v>
      </c>
      <c r="H93" s="514">
        <f>G93/F93*100</f>
        <v>31.23776081038303</v>
      </c>
    </row>
    <row r="94" spans="1:14" s="12" customFormat="1" ht="12" customHeight="1" x14ac:dyDescent="0.2">
      <c r="A94" s="611">
        <v>92403</v>
      </c>
      <c r="B94" s="1879" t="s">
        <v>213</v>
      </c>
      <c r="C94" s="1879"/>
      <c r="D94" s="1879"/>
      <c r="E94" s="612">
        <v>5800</v>
      </c>
      <c r="F94" s="612">
        <v>5800</v>
      </c>
      <c r="G94" s="612">
        <v>1620.00216</v>
      </c>
      <c r="H94" s="613">
        <f t="shared" si="4"/>
        <v>27.931071724137929</v>
      </c>
      <c r="J94" s="495"/>
      <c r="K94" s="495"/>
      <c r="L94" s="495"/>
      <c r="M94" s="495"/>
      <c r="N94" s="495"/>
    </row>
    <row r="95" spans="1:14" s="12" customFormat="1" ht="12" customHeight="1" thickBot="1" x14ac:dyDescent="0.25">
      <c r="A95" s="500">
        <v>92409</v>
      </c>
      <c r="B95" s="1873" t="s">
        <v>283</v>
      </c>
      <c r="C95" s="1873"/>
      <c r="D95" s="1873"/>
      <c r="E95" s="610">
        <v>0</v>
      </c>
      <c r="F95" s="610">
        <v>2097.5</v>
      </c>
      <c r="G95" s="610">
        <v>847</v>
      </c>
      <c r="H95" s="515">
        <f t="shared" si="4"/>
        <v>40.381406436233611</v>
      </c>
      <c r="J95" s="495"/>
      <c r="K95" s="495"/>
      <c r="L95" s="495"/>
      <c r="M95" s="495"/>
      <c r="N95" s="495"/>
    </row>
    <row r="96" spans="1:14" s="458" customFormat="1" ht="15" customHeight="1" thickBot="1" x14ac:dyDescent="0.25">
      <c r="A96" s="480">
        <v>925</v>
      </c>
      <c r="B96" s="1799" t="s">
        <v>576</v>
      </c>
      <c r="C96" s="1799"/>
      <c r="D96" s="1799"/>
      <c r="E96" s="494">
        <f>E97</f>
        <v>9156.24</v>
      </c>
      <c r="F96" s="494">
        <f>F97</f>
        <v>18511.112809999999</v>
      </c>
      <c r="G96" s="494">
        <f>G97</f>
        <v>6031.8353999999999</v>
      </c>
      <c r="H96" s="514">
        <f>G96/F96*100</f>
        <v>32.584942147516415</v>
      </c>
      <c r="J96" s="497"/>
      <c r="K96" s="497"/>
      <c r="L96" s="497"/>
      <c r="M96" s="497"/>
      <c r="N96" s="497"/>
    </row>
    <row r="97" spans="1:14" s="12" customFormat="1" ht="12" customHeight="1" thickBot="1" x14ac:dyDescent="0.25">
      <c r="A97" s="485">
        <v>92515</v>
      </c>
      <c r="B97" s="1787" t="s">
        <v>218</v>
      </c>
      <c r="C97" s="1787"/>
      <c r="D97" s="1787"/>
      <c r="E97" s="617">
        <v>9156.24</v>
      </c>
      <c r="F97" s="617">
        <v>18511.112809999999</v>
      </c>
      <c r="G97" s="617">
        <v>6031.8353999999999</v>
      </c>
      <c r="H97" s="519">
        <f t="shared" si="4"/>
        <v>32.584942147516415</v>
      </c>
      <c r="J97" s="495"/>
      <c r="K97" s="495"/>
      <c r="L97" s="495"/>
      <c r="M97" s="495"/>
      <c r="N97" s="495"/>
    </row>
    <row r="98" spans="1:14" s="497" customFormat="1" ht="15" customHeight="1" thickBot="1" x14ac:dyDescent="0.25">
      <c r="A98" s="489">
        <v>926</v>
      </c>
      <c r="B98" s="1797" t="s">
        <v>577</v>
      </c>
      <c r="C98" s="1796"/>
      <c r="D98" s="1796"/>
      <c r="E98" s="494">
        <f>SUM(E99:E107)</f>
        <v>83113.63</v>
      </c>
      <c r="F98" s="494">
        <f>SUM(F99:F107)</f>
        <v>165739.63880000002</v>
      </c>
      <c r="G98" s="494">
        <f>SUM(G99:G107)</f>
        <v>108459.45972000001</v>
      </c>
      <c r="H98" s="514">
        <f>G98/F98*100</f>
        <v>65.439662174526234</v>
      </c>
    </row>
    <row r="99" spans="1:14" s="123" customFormat="1" ht="12" customHeight="1" x14ac:dyDescent="0.2">
      <c r="A99" s="626">
        <v>92601</v>
      </c>
      <c r="B99" s="1874" t="s">
        <v>278</v>
      </c>
      <c r="C99" s="1875"/>
      <c r="D99" s="1875"/>
      <c r="E99" s="612">
        <v>0</v>
      </c>
      <c r="F99" s="612">
        <v>16080.77699</v>
      </c>
      <c r="G99" s="612">
        <v>14401.7382</v>
      </c>
      <c r="H99" s="613">
        <f t="shared" si="4"/>
        <v>89.558721005557572</v>
      </c>
      <c r="J99" s="498"/>
      <c r="K99" s="498"/>
      <c r="L99" s="498"/>
      <c r="M99" s="498"/>
      <c r="N99" s="498"/>
    </row>
    <row r="100" spans="1:14" s="123" customFormat="1" ht="12" customHeight="1" x14ac:dyDescent="0.2">
      <c r="A100" s="500">
        <v>92602</v>
      </c>
      <c r="B100" s="1881" t="s">
        <v>217</v>
      </c>
      <c r="C100" s="1882"/>
      <c r="D100" s="1882"/>
      <c r="E100" s="601">
        <v>0</v>
      </c>
      <c r="F100" s="601">
        <v>37075.203450000001</v>
      </c>
      <c r="G100" s="601">
        <v>31442.077940000003</v>
      </c>
      <c r="H100" s="518">
        <f t="shared" si="4"/>
        <v>84.806218211056105</v>
      </c>
      <c r="J100" s="498"/>
      <c r="K100" s="498"/>
      <c r="L100" s="498"/>
      <c r="M100" s="498"/>
      <c r="N100" s="498"/>
    </row>
    <row r="101" spans="1:14" s="123" customFormat="1" ht="12" customHeight="1" x14ac:dyDescent="0.2">
      <c r="A101" s="764">
        <v>92603</v>
      </c>
      <c r="B101" s="1868" t="s">
        <v>213</v>
      </c>
      <c r="C101" s="1868"/>
      <c r="D101" s="1868"/>
      <c r="E101" s="601">
        <v>83113.63</v>
      </c>
      <c r="F101" s="601">
        <v>0</v>
      </c>
      <c r="G101" s="601">
        <v>0</v>
      </c>
      <c r="H101" s="1326" t="s">
        <v>75</v>
      </c>
      <c r="J101" s="498"/>
      <c r="K101" s="498"/>
      <c r="L101" s="498"/>
      <c r="M101" s="498"/>
      <c r="N101" s="498"/>
    </row>
    <row r="102" spans="1:14" s="123" customFormat="1" ht="12" customHeight="1" x14ac:dyDescent="0.2">
      <c r="A102" s="488">
        <v>92604</v>
      </c>
      <c r="B102" s="1883" t="s">
        <v>568</v>
      </c>
      <c r="C102" s="1884"/>
      <c r="D102" s="1884"/>
      <c r="E102" s="601">
        <v>0</v>
      </c>
      <c r="F102" s="601">
        <v>35056.314359999997</v>
      </c>
      <c r="G102" s="601">
        <v>30770.991999999998</v>
      </c>
      <c r="H102" s="518">
        <f t="shared" si="4"/>
        <v>87.77589019771672</v>
      </c>
      <c r="J102" s="498"/>
      <c r="K102" s="498"/>
      <c r="L102" s="498"/>
      <c r="M102" s="498"/>
      <c r="N102" s="498"/>
    </row>
    <row r="103" spans="1:14" s="123" customFormat="1" ht="12" customHeight="1" x14ac:dyDescent="0.2">
      <c r="A103" s="482">
        <v>92605</v>
      </c>
      <c r="B103" s="1880" t="s">
        <v>225</v>
      </c>
      <c r="C103" s="1880"/>
      <c r="D103" s="1888"/>
      <c r="E103" s="601">
        <v>0</v>
      </c>
      <c r="F103" s="601">
        <v>1072.7689600000001</v>
      </c>
      <c r="G103" s="601">
        <v>979.31500000000005</v>
      </c>
      <c r="H103" s="518">
        <f t="shared" si="4"/>
        <v>91.28852870612512</v>
      </c>
      <c r="J103" s="498"/>
      <c r="K103" s="498"/>
      <c r="L103" s="498"/>
      <c r="M103" s="498"/>
      <c r="N103" s="498"/>
    </row>
    <row r="104" spans="1:14" s="123" customFormat="1" ht="12" customHeight="1" x14ac:dyDescent="0.2">
      <c r="A104" s="483">
        <v>92606</v>
      </c>
      <c r="B104" s="1872" t="s">
        <v>849</v>
      </c>
      <c r="C104" s="1872"/>
      <c r="D104" s="1872"/>
      <c r="E104" s="601">
        <v>0</v>
      </c>
      <c r="F104" s="601">
        <v>24895.03469</v>
      </c>
      <c r="G104" s="601">
        <v>6005.0482000000002</v>
      </c>
      <c r="H104" s="518">
        <f t="shared" si="4"/>
        <v>24.121469500952923</v>
      </c>
      <c r="J104" s="498"/>
      <c r="K104" s="498"/>
      <c r="L104" s="498"/>
      <c r="M104" s="498"/>
      <c r="N104" s="498"/>
    </row>
    <row r="105" spans="1:14" s="123" customFormat="1" ht="12" customHeight="1" x14ac:dyDescent="0.2">
      <c r="A105" s="488">
        <v>92607</v>
      </c>
      <c r="B105" s="501" t="s">
        <v>281</v>
      </c>
      <c r="C105" s="502"/>
      <c r="D105" s="502"/>
      <c r="E105" s="601">
        <v>0</v>
      </c>
      <c r="F105" s="601">
        <v>19166.489600000001</v>
      </c>
      <c r="G105" s="601">
        <v>10615.422789999999</v>
      </c>
      <c r="H105" s="518">
        <f t="shared" si="4"/>
        <v>55.385326220613706</v>
      </c>
      <c r="J105" s="498"/>
      <c r="K105" s="498"/>
      <c r="L105" s="498"/>
      <c r="M105" s="498"/>
      <c r="N105" s="498"/>
    </row>
    <row r="106" spans="1:14" s="123" customFormat="1" ht="12" customHeight="1" x14ac:dyDescent="0.2">
      <c r="A106" s="483">
        <v>92608</v>
      </c>
      <c r="B106" s="1868" t="s">
        <v>282</v>
      </c>
      <c r="C106" s="1868"/>
      <c r="D106" s="1876"/>
      <c r="E106" s="601">
        <v>0</v>
      </c>
      <c r="F106" s="601">
        <v>29878.329949999999</v>
      </c>
      <c r="G106" s="601">
        <v>12914.142589999999</v>
      </c>
      <c r="H106" s="518">
        <f t="shared" si="4"/>
        <v>43.222437839100174</v>
      </c>
      <c r="J106" s="498"/>
      <c r="K106" s="498"/>
      <c r="L106" s="498"/>
      <c r="M106" s="498"/>
      <c r="N106" s="498"/>
    </row>
    <row r="107" spans="1:14" s="123" customFormat="1" ht="12" customHeight="1" thickBot="1" x14ac:dyDescent="0.25">
      <c r="A107" s="620">
        <v>92609</v>
      </c>
      <c r="B107" s="1893" t="s">
        <v>283</v>
      </c>
      <c r="C107" s="1893"/>
      <c r="D107" s="1894"/>
      <c r="E107" s="615">
        <v>0</v>
      </c>
      <c r="F107" s="615">
        <v>2514.7208000000001</v>
      </c>
      <c r="G107" s="615">
        <v>1330.723</v>
      </c>
      <c r="H107" s="521">
        <f t="shared" si="4"/>
        <v>52.91732585184009</v>
      </c>
      <c r="J107" s="497"/>
      <c r="K107" s="497"/>
      <c r="L107" s="497"/>
      <c r="M107" s="498"/>
      <c r="N107" s="498"/>
    </row>
    <row r="108" spans="1:14" s="458" customFormat="1" ht="15" customHeight="1" thickBot="1" x14ac:dyDescent="0.25">
      <c r="A108" s="623">
        <v>931</v>
      </c>
      <c r="B108" s="1889" t="s">
        <v>578</v>
      </c>
      <c r="C108" s="1890"/>
      <c r="D108" s="1890"/>
      <c r="E108" s="621">
        <f>E109</f>
        <v>10000</v>
      </c>
      <c r="F108" s="621">
        <f>F109</f>
        <v>50216.338219999998</v>
      </c>
      <c r="G108" s="621">
        <f>G109</f>
        <v>25488.222730000001</v>
      </c>
      <c r="H108" s="609">
        <f>G108/F108*100</f>
        <v>50.756832603633839</v>
      </c>
      <c r="I108" s="497"/>
      <c r="J108" s="497"/>
      <c r="K108" s="497"/>
      <c r="L108" s="497"/>
      <c r="M108" s="497"/>
      <c r="N108" s="497"/>
    </row>
    <row r="109" spans="1:14" s="12" customFormat="1" ht="12" customHeight="1" thickBot="1" x14ac:dyDescent="0.25">
      <c r="A109" s="483">
        <v>93101</v>
      </c>
      <c r="B109" s="1891" t="s">
        <v>278</v>
      </c>
      <c r="C109" s="1892"/>
      <c r="D109" s="1892"/>
      <c r="E109" s="499">
        <v>10000</v>
      </c>
      <c r="F109" s="499">
        <v>50216.338219999998</v>
      </c>
      <c r="G109" s="499">
        <v>25488.222730000001</v>
      </c>
      <c r="H109" s="517">
        <f t="shared" si="4"/>
        <v>50.756832603633839</v>
      </c>
      <c r="I109" s="498"/>
      <c r="J109" s="495"/>
      <c r="K109" s="495"/>
      <c r="L109" s="495"/>
      <c r="M109" s="495"/>
      <c r="N109" s="495"/>
    </row>
    <row r="110" spans="1:14" s="458" customFormat="1" ht="15" customHeight="1" thickBot="1" x14ac:dyDescent="0.25">
      <c r="A110" s="489">
        <v>932</v>
      </c>
      <c r="B110" s="1797" t="s">
        <v>579</v>
      </c>
      <c r="C110" s="1796"/>
      <c r="D110" s="1796"/>
      <c r="E110" s="494">
        <f>E111</f>
        <v>25800</v>
      </c>
      <c r="F110" s="494">
        <f>F111</f>
        <v>56999.49869</v>
      </c>
      <c r="G110" s="494">
        <f>G111</f>
        <v>27809.501380000002</v>
      </c>
      <c r="H110" s="514">
        <f>G110/F110*100</f>
        <v>48.789028007502289</v>
      </c>
      <c r="I110" s="497"/>
      <c r="J110" s="497"/>
      <c r="K110" s="497"/>
      <c r="L110" s="497"/>
      <c r="M110" s="497"/>
      <c r="N110" s="497"/>
    </row>
    <row r="111" spans="1:14" s="12" customFormat="1" ht="12" customHeight="1" thickBot="1" x14ac:dyDescent="0.25">
      <c r="A111" s="618">
        <v>93208</v>
      </c>
      <c r="B111" s="1788" t="s">
        <v>282</v>
      </c>
      <c r="C111" s="1866"/>
      <c r="D111" s="1866"/>
      <c r="E111" s="617">
        <v>25800</v>
      </c>
      <c r="F111" s="617">
        <v>56999.49869</v>
      </c>
      <c r="G111" s="617">
        <v>27809.501380000002</v>
      </c>
      <c r="H111" s="519">
        <f t="shared" si="4"/>
        <v>48.789028007502289</v>
      </c>
      <c r="I111" s="498"/>
      <c r="J111" s="495"/>
      <c r="K111" s="495"/>
      <c r="L111" s="495"/>
      <c r="M111" s="495"/>
      <c r="N111" s="495"/>
    </row>
    <row r="112" spans="1:14" s="458" customFormat="1" ht="15" customHeight="1" thickBot="1" x14ac:dyDescent="0.25">
      <c r="A112" s="489">
        <v>934</v>
      </c>
      <c r="B112" s="1797" t="s">
        <v>680</v>
      </c>
      <c r="C112" s="1796"/>
      <c r="D112" s="1796"/>
      <c r="E112" s="494">
        <f>E113</f>
        <v>2000</v>
      </c>
      <c r="F112" s="494">
        <f>F113</f>
        <v>4813.3903600000003</v>
      </c>
      <c r="G112" s="494">
        <f>G113</f>
        <v>2336.9409999999998</v>
      </c>
      <c r="H112" s="514">
        <f>G112/F112*100</f>
        <v>48.55083060414821</v>
      </c>
      <c r="I112" s="497"/>
      <c r="J112" s="497"/>
      <c r="K112" s="497"/>
      <c r="L112" s="497"/>
      <c r="M112" s="497"/>
      <c r="N112" s="497"/>
    </row>
    <row r="113" spans="1:14" s="12" customFormat="1" ht="12" customHeight="1" thickBot="1" x14ac:dyDescent="0.25">
      <c r="A113" s="618">
        <v>93408</v>
      </c>
      <c r="B113" s="1788" t="s">
        <v>282</v>
      </c>
      <c r="C113" s="1866"/>
      <c r="D113" s="1866"/>
      <c r="E113" s="617">
        <v>2000</v>
      </c>
      <c r="F113" s="617">
        <v>4813.3903600000003</v>
      </c>
      <c r="G113" s="617">
        <v>2336.9409999999998</v>
      </c>
      <c r="H113" s="519">
        <f t="shared" si="4"/>
        <v>48.55083060414821</v>
      </c>
      <c r="I113" s="498"/>
      <c r="J113" s="495"/>
      <c r="K113" s="495"/>
      <c r="L113" s="495"/>
      <c r="M113" s="495"/>
      <c r="N113" s="495"/>
    </row>
    <row r="114" spans="1:14" s="458" customFormat="1" ht="21" customHeight="1" thickBot="1" x14ac:dyDescent="0.25">
      <c r="A114" s="1885" t="s">
        <v>853</v>
      </c>
      <c r="B114" s="1886"/>
      <c r="C114" s="1886"/>
      <c r="D114" s="1887"/>
      <c r="E114" s="624">
        <f>SUM(E112,E110,E108,E98,E96,E93,E83,E71,E69,E52,E50,E45,E28,E20,E13,E11,E8)</f>
        <v>3201041.9899999998</v>
      </c>
      <c r="F114" s="624">
        <f>SUM(F112,F110,F108,F98,F96,F93,F83,F71,F69,F52,F50,F45,F28,F20,F13,F11,F8)</f>
        <v>14878552.110060003</v>
      </c>
      <c r="G114" s="624">
        <f>SUM(G112,G110,G108,G98,G96,G93,G83,G71,G69,G52,G50,G45,G28,G20,G13,G11,G8)</f>
        <v>13046270.648359999</v>
      </c>
      <c r="H114" s="625">
        <f>G114/F114*100</f>
        <v>87.685082203253344</v>
      </c>
      <c r="I114" s="497"/>
      <c r="J114" s="497"/>
      <c r="K114" s="497"/>
      <c r="L114" s="497"/>
      <c r="M114" s="497"/>
      <c r="N114" s="497"/>
    </row>
    <row r="115" spans="1:14" s="495" customFormat="1" x14ac:dyDescent="0.2">
      <c r="A115" s="511"/>
      <c r="B115" s="511"/>
      <c r="C115" s="511"/>
      <c r="D115" s="511"/>
      <c r="H115" s="522"/>
    </row>
    <row r="116" spans="1:14" s="495" customFormat="1" x14ac:dyDescent="0.2">
      <c r="A116" s="511"/>
      <c r="B116" s="511"/>
      <c r="C116" s="511"/>
      <c r="D116" s="511"/>
      <c r="E116" s="627"/>
      <c r="F116" s="627"/>
      <c r="G116" s="627"/>
      <c r="H116" s="523"/>
      <c r="I116" s="503"/>
    </row>
    <row r="117" spans="1:14" s="12" customFormat="1" x14ac:dyDescent="0.2">
      <c r="A117" s="504"/>
      <c r="B117" s="504"/>
      <c r="C117" s="504"/>
      <c r="D117" s="503"/>
      <c r="E117" s="686"/>
      <c r="F117" s="505"/>
      <c r="G117" s="505"/>
      <c r="H117" s="520"/>
      <c r="I117" s="503"/>
      <c r="J117" s="495"/>
      <c r="K117" s="495"/>
      <c r="L117" s="495"/>
      <c r="M117" s="495"/>
      <c r="N117" s="495"/>
    </row>
    <row r="118" spans="1:14" s="12" customFormat="1" x14ac:dyDescent="0.2">
      <c r="A118" s="506"/>
      <c r="B118" s="506"/>
      <c r="C118" s="507"/>
      <c r="D118" s="508"/>
      <c r="E118" s="687"/>
      <c r="F118" s="508"/>
      <c r="G118" s="512"/>
      <c r="H118" s="523"/>
      <c r="I118" s="503"/>
      <c r="J118" s="495"/>
      <c r="K118" s="495"/>
      <c r="L118" s="495"/>
      <c r="M118" s="495"/>
      <c r="N118" s="495"/>
    </row>
    <row r="119" spans="1:14" s="12" customFormat="1" x14ac:dyDescent="0.2">
      <c r="A119" s="503"/>
      <c r="B119" s="503"/>
      <c r="C119" s="503"/>
      <c r="D119" s="503"/>
      <c r="E119" s="627"/>
      <c r="F119" s="512"/>
      <c r="G119" s="503"/>
      <c r="H119" s="523"/>
      <c r="I119" s="503"/>
      <c r="J119" s="495"/>
      <c r="K119" s="495"/>
      <c r="L119" s="495"/>
      <c r="M119" s="495"/>
      <c r="N119" s="495"/>
    </row>
    <row r="120" spans="1:14" s="12" customFormat="1" x14ac:dyDescent="0.2">
      <c r="A120" s="503"/>
      <c r="B120" s="503"/>
      <c r="C120" s="503"/>
      <c r="D120" s="503"/>
      <c r="E120" s="628"/>
      <c r="F120" s="512"/>
      <c r="G120" s="503"/>
      <c r="H120" s="523"/>
      <c r="I120" s="503"/>
      <c r="J120" s="495"/>
      <c r="K120" s="495"/>
      <c r="L120" s="495"/>
      <c r="M120" s="495"/>
      <c r="N120" s="495"/>
    </row>
    <row r="121" spans="1:14" s="12" customFormat="1" x14ac:dyDescent="0.2">
      <c r="A121" s="503"/>
      <c r="B121" s="503"/>
      <c r="C121" s="503"/>
      <c r="D121" s="10"/>
      <c r="E121" s="503"/>
      <c r="F121" s="503"/>
      <c r="G121" s="503"/>
      <c r="H121" s="523"/>
      <c r="I121" s="503"/>
      <c r="J121" s="495"/>
      <c r="K121" s="495"/>
      <c r="L121" s="495"/>
      <c r="M121" s="495"/>
      <c r="N121" s="495"/>
    </row>
    <row r="122" spans="1:14" x14ac:dyDescent="0.2">
      <c r="D122" s="10"/>
    </row>
    <row r="123" spans="1:14" x14ac:dyDescent="0.2">
      <c r="D123" s="10"/>
    </row>
    <row r="126" spans="1:14" x14ac:dyDescent="0.2">
      <c r="E126" s="4"/>
    </row>
  </sheetData>
  <mergeCells count="105">
    <mergeCell ref="G1:H1"/>
    <mergeCell ref="A3:H3"/>
    <mergeCell ref="A5:H5"/>
    <mergeCell ref="B7:D7"/>
    <mergeCell ref="B8:D8"/>
    <mergeCell ref="B16:D16"/>
    <mergeCell ref="B17:D17"/>
    <mergeCell ref="B19:D19"/>
    <mergeCell ref="B39:D39"/>
    <mergeCell ref="B9:D9"/>
    <mergeCell ref="B32:D32"/>
    <mergeCell ref="B33:D33"/>
    <mergeCell ref="B34:D34"/>
    <mergeCell ref="B10:D10"/>
    <mergeCell ref="B11:D11"/>
    <mergeCell ref="B20:D20"/>
    <mergeCell ref="B12:D12"/>
    <mergeCell ref="B25:D25"/>
    <mergeCell ref="B26:D26"/>
    <mergeCell ref="B27:D27"/>
    <mergeCell ref="B30:D30"/>
    <mergeCell ref="B13:D13"/>
    <mergeCell ref="B14:D14"/>
    <mergeCell ref="B15:D15"/>
    <mergeCell ref="B41:D41"/>
    <mergeCell ref="B21:D21"/>
    <mergeCell ref="B24:D24"/>
    <mergeCell ref="B28:D28"/>
    <mergeCell ref="B29:D29"/>
    <mergeCell ref="B31:D31"/>
    <mergeCell ref="B22:D22"/>
    <mergeCell ref="B23:D23"/>
    <mergeCell ref="B35:D35"/>
    <mergeCell ref="B36:D36"/>
    <mergeCell ref="B37:D37"/>
    <mergeCell ref="B38:D38"/>
    <mergeCell ref="B40:D40"/>
    <mergeCell ref="B42:D42"/>
    <mergeCell ref="B43:D43"/>
    <mergeCell ref="B52:D52"/>
    <mergeCell ref="B53:D53"/>
    <mergeCell ref="B54:D54"/>
    <mergeCell ref="B55:D55"/>
    <mergeCell ref="B44:D44"/>
    <mergeCell ref="B45:D45"/>
    <mergeCell ref="B46:D46"/>
    <mergeCell ref="B47:D47"/>
    <mergeCell ref="B48:D48"/>
    <mergeCell ref="B49:D49"/>
    <mergeCell ref="B57:D57"/>
    <mergeCell ref="B58:D58"/>
    <mergeCell ref="B59:D59"/>
    <mergeCell ref="B60:D60"/>
    <mergeCell ref="B69:D69"/>
    <mergeCell ref="B61:D61"/>
    <mergeCell ref="B51:D51"/>
    <mergeCell ref="B50:D50"/>
    <mergeCell ref="B56:D56"/>
    <mergeCell ref="B81:D81"/>
    <mergeCell ref="B70:D70"/>
    <mergeCell ref="B68:D68"/>
    <mergeCell ref="B71:D71"/>
    <mergeCell ref="B72:D72"/>
    <mergeCell ref="B73:D73"/>
    <mergeCell ref="B74:D74"/>
    <mergeCell ref="B76:D76"/>
    <mergeCell ref="B77:D77"/>
    <mergeCell ref="B78:D78"/>
    <mergeCell ref="B75:D75"/>
    <mergeCell ref="B106:D106"/>
    <mergeCell ref="B102:D102"/>
    <mergeCell ref="B96:D96"/>
    <mergeCell ref="A114:D114"/>
    <mergeCell ref="B111:D111"/>
    <mergeCell ref="B113:D113"/>
    <mergeCell ref="B112:D112"/>
    <mergeCell ref="B103:D103"/>
    <mergeCell ref="B110:D110"/>
    <mergeCell ref="B108:D108"/>
    <mergeCell ref="B109:D109"/>
    <mergeCell ref="B107:D107"/>
    <mergeCell ref="B92:D92"/>
    <mergeCell ref="B101:D101"/>
    <mergeCell ref="G62:H62"/>
    <mergeCell ref="A64:H64"/>
    <mergeCell ref="A66:H66"/>
    <mergeCell ref="B104:D104"/>
    <mergeCell ref="B84:D84"/>
    <mergeCell ref="B98:D98"/>
    <mergeCell ref="B99:D99"/>
    <mergeCell ref="B90:D90"/>
    <mergeCell ref="B97:D97"/>
    <mergeCell ref="B93:D93"/>
    <mergeCell ref="B94:D94"/>
    <mergeCell ref="B89:D89"/>
    <mergeCell ref="B79:D79"/>
    <mergeCell ref="B80:D80"/>
    <mergeCell ref="B82:D82"/>
    <mergeCell ref="B100:D100"/>
    <mergeCell ref="B95:D95"/>
    <mergeCell ref="B85:D85"/>
    <mergeCell ref="B87:D87"/>
    <mergeCell ref="B88:D88"/>
    <mergeCell ref="B86:D86"/>
    <mergeCell ref="B83:D8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O261"/>
  <sheetViews>
    <sheetView workbookViewId="0">
      <selection activeCell="J16" sqref="J16"/>
    </sheetView>
  </sheetViews>
  <sheetFormatPr defaultRowHeight="12.75" x14ac:dyDescent="0.2"/>
  <cols>
    <col min="1" max="1" width="9.28515625" style="607" customWidth="1"/>
    <col min="2" max="2" width="52.85546875" style="602" customWidth="1"/>
    <col min="3" max="3" width="9.85546875" style="605" bestFit="1" customWidth="1"/>
    <col min="4" max="4" width="10" style="437" bestFit="1" customWidth="1"/>
    <col min="5" max="5" width="8.7109375" style="437" bestFit="1" customWidth="1"/>
    <col min="6" max="6" width="16.7109375" style="792" customWidth="1"/>
    <col min="7" max="7" width="16.7109375" style="12" customWidth="1"/>
    <col min="8" max="8" width="14.7109375" style="12" customWidth="1"/>
    <col min="9" max="9" width="10.7109375" style="12" bestFit="1" customWidth="1"/>
    <col min="10" max="16384" width="9.140625" style="12"/>
  </cols>
  <sheetData>
    <row r="1" spans="1:13" s="592" customFormat="1" ht="15" customHeight="1" x14ac:dyDescent="0.2">
      <c r="A1" s="78"/>
      <c r="B1" s="593"/>
      <c r="C1" s="79"/>
      <c r="D1" s="79"/>
      <c r="E1" s="83" t="s">
        <v>793</v>
      </c>
      <c r="F1" s="797"/>
      <c r="G1" s="797"/>
      <c r="H1" s="797"/>
      <c r="I1" s="797"/>
      <c r="J1" s="797"/>
      <c r="K1" s="797"/>
      <c r="L1" s="797"/>
    </row>
    <row r="2" spans="1:13" s="592" customFormat="1" ht="32.25" customHeight="1" x14ac:dyDescent="0.2">
      <c r="A2" s="1920" t="s">
        <v>735</v>
      </c>
      <c r="B2" s="1920"/>
      <c r="C2" s="1921"/>
      <c r="D2" s="1921"/>
      <c r="E2" s="1921"/>
      <c r="F2" s="797"/>
      <c r="G2" s="797"/>
      <c r="H2" s="797"/>
      <c r="I2" s="797"/>
      <c r="J2" s="797"/>
      <c r="K2" s="797"/>
      <c r="L2" s="797"/>
    </row>
    <row r="3" spans="1:13" s="592" customFormat="1" ht="12.75" customHeight="1" x14ac:dyDescent="0.2">
      <c r="A3" s="80"/>
      <c r="B3" s="594"/>
      <c r="C3" s="81"/>
      <c r="D3" s="595"/>
      <c r="E3" s="595"/>
      <c r="F3" s="797"/>
      <c r="G3" s="797"/>
      <c r="H3" s="797"/>
      <c r="I3" s="797"/>
      <c r="J3" s="797"/>
      <c r="K3" s="797"/>
      <c r="L3" s="797"/>
    </row>
    <row r="4" spans="1:13" s="592" customFormat="1" ht="15.75" customHeight="1" x14ac:dyDescent="0.2">
      <c r="A4" s="1922" t="s">
        <v>84</v>
      </c>
      <c r="B4" s="1922"/>
      <c r="C4" s="1923"/>
      <c r="D4" s="1923"/>
      <c r="E4" s="1923"/>
      <c r="F4" s="797"/>
      <c r="G4" s="1330"/>
      <c r="H4" s="1331"/>
      <c r="I4" s="1331"/>
      <c r="J4" s="495"/>
      <c r="K4" s="797"/>
      <c r="L4" s="797"/>
    </row>
    <row r="5" spans="1:13" s="592" customFormat="1" ht="13.5" customHeight="1" x14ac:dyDescent="0.2">
      <c r="A5" s="80"/>
      <c r="B5" s="596"/>
      <c r="C5" s="81"/>
      <c r="D5" s="595"/>
      <c r="E5" s="608" t="s">
        <v>83</v>
      </c>
      <c r="F5" s="797"/>
      <c r="G5" s="1331"/>
      <c r="H5" s="1330"/>
      <c r="I5" s="1331"/>
      <c r="J5" s="495"/>
      <c r="K5" s="797"/>
      <c r="L5" s="797"/>
    </row>
    <row r="6" spans="1:13" ht="24" customHeight="1" x14ac:dyDescent="0.2">
      <c r="A6" s="805" t="s">
        <v>27</v>
      </c>
      <c r="B6" s="806" t="s">
        <v>0</v>
      </c>
      <c r="C6" s="807" t="s">
        <v>986</v>
      </c>
      <c r="D6" s="807" t="s">
        <v>987</v>
      </c>
      <c r="E6" s="807" t="s">
        <v>988</v>
      </c>
      <c r="F6" s="495"/>
      <c r="G6" s="1331"/>
      <c r="H6" s="1331"/>
      <c r="I6" s="1330"/>
      <c r="J6" s="495"/>
      <c r="K6" s="495"/>
      <c r="L6" s="495"/>
    </row>
    <row r="7" spans="1:13" ht="15.75" customHeight="1" x14ac:dyDescent="0.2">
      <c r="A7" s="1912" t="s">
        <v>438</v>
      </c>
      <c r="B7" s="1912"/>
      <c r="C7" s="1329">
        <f>C8+C191+C75+C122+C213+C218+C209+C245+C227+C223+C240</f>
        <v>179999.99999999997</v>
      </c>
      <c r="D7" s="1329">
        <f>D8+D191+D75+D122+D213+D218+D209+D245+D227+D223+D240</f>
        <v>1697868.8800000001</v>
      </c>
      <c r="E7" s="1329">
        <f>E8+E191+E75+E122+E213+E218+E209+E245+E227+E223+E240</f>
        <v>837907.79253000009</v>
      </c>
      <c r="F7" s="495"/>
      <c r="G7" s="1332"/>
      <c r="H7" s="1332"/>
      <c r="I7" s="1332"/>
      <c r="J7" s="495"/>
      <c r="K7" s="495"/>
      <c r="L7" s="495"/>
    </row>
    <row r="8" spans="1:13" x14ac:dyDescent="0.2">
      <c r="A8" s="790" t="s">
        <v>653</v>
      </c>
      <c r="B8" s="777"/>
      <c r="C8" s="774">
        <f>SUM(C9:C73)</f>
        <v>123277.23999999999</v>
      </c>
      <c r="D8" s="774">
        <f>SUM(D9:D73)</f>
        <v>971404.4</v>
      </c>
      <c r="E8" s="774">
        <f>SUM(E9:E73)</f>
        <v>541408.42887000006</v>
      </c>
      <c r="G8" s="495"/>
      <c r="H8" s="495"/>
      <c r="I8" s="495"/>
      <c r="J8" s="495"/>
      <c r="K8" s="495"/>
      <c r="L8" s="495"/>
    </row>
    <row r="9" spans="1:13" x14ac:dyDescent="0.2">
      <c r="A9" s="716" t="s">
        <v>75</v>
      </c>
      <c r="B9" s="696" t="s">
        <v>47</v>
      </c>
      <c r="C9" s="599"/>
      <c r="D9" s="599"/>
      <c r="E9" s="599"/>
      <c r="G9" s="495"/>
      <c r="H9" s="495"/>
      <c r="I9" s="495"/>
      <c r="J9" s="495"/>
      <c r="K9" s="495"/>
      <c r="L9" s="495"/>
      <c r="M9" s="495"/>
    </row>
    <row r="10" spans="1:13" x14ac:dyDescent="0.2">
      <c r="A10" s="719">
        <v>2314</v>
      </c>
      <c r="B10" s="776" t="s">
        <v>1004</v>
      </c>
      <c r="C10" s="773">
        <v>600</v>
      </c>
      <c r="D10" s="773">
        <v>600</v>
      </c>
      <c r="E10" s="793">
        <v>574.61900000000003</v>
      </c>
      <c r="G10" s="495"/>
      <c r="H10" s="495"/>
      <c r="I10" s="495"/>
      <c r="J10" s="495"/>
      <c r="K10" s="495"/>
      <c r="L10" s="495"/>
      <c r="M10" s="495"/>
    </row>
    <row r="11" spans="1:13" x14ac:dyDescent="0.2">
      <c r="A11" s="780">
        <v>2314</v>
      </c>
      <c r="B11" s="776" t="s">
        <v>939</v>
      </c>
      <c r="C11" s="773">
        <v>10</v>
      </c>
      <c r="D11" s="773">
        <f>18750+3560</f>
        <v>22310</v>
      </c>
      <c r="E11" s="793">
        <v>6.05</v>
      </c>
      <c r="G11" s="495"/>
      <c r="H11" s="495"/>
      <c r="I11" s="495"/>
      <c r="J11" s="495"/>
      <c r="K11" s="495"/>
      <c r="L11" s="495"/>
      <c r="M11" s="495"/>
    </row>
    <row r="12" spans="1:13" x14ac:dyDescent="0.2">
      <c r="A12" s="780">
        <v>2314</v>
      </c>
      <c r="B12" s="776" t="s">
        <v>940</v>
      </c>
      <c r="C12" s="773">
        <f>1000+477.12</f>
        <v>1477.12</v>
      </c>
      <c r="D12" s="773">
        <f>1000+477.12</f>
        <v>1477.12</v>
      </c>
      <c r="E12" s="793">
        <v>0</v>
      </c>
      <c r="G12" s="495"/>
      <c r="H12" s="495"/>
      <c r="I12" s="495"/>
      <c r="J12" s="495"/>
      <c r="K12" s="495"/>
      <c r="L12" s="495"/>
      <c r="M12" s="495"/>
    </row>
    <row r="13" spans="1:13" x14ac:dyDescent="0.2">
      <c r="A13" s="780">
        <v>2314</v>
      </c>
      <c r="B13" s="776" t="s">
        <v>941</v>
      </c>
      <c r="C13" s="773">
        <v>0</v>
      </c>
      <c r="D13" s="773">
        <f>4628+1362</f>
        <v>5990</v>
      </c>
      <c r="E13" s="793">
        <f>1917.82305+14.16305</f>
        <v>1931.9861000000001</v>
      </c>
      <c r="G13" s="495"/>
      <c r="H13" s="495"/>
      <c r="I13" s="495"/>
      <c r="J13" s="495"/>
      <c r="K13" s="495"/>
      <c r="L13" s="495"/>
      <c r="M13" s="495"/>
    </row>
    <row r="14" spans="1:13" x14ac:dyDescent="0.2">
      <c r="A14" s="780">
        <v>2314</v>
      </c>
      <c r="B14" s="776" t="s">
        <v>942</v>
      </c>
      <c r="C14" s="773">
        <v>0</v>
      </c>
      <c r="D14" s="773">
        <f>3000+1160</f>
        <v>4160</v>
      </c>
      <c r="E14" s="793">
        <f>180.29+6.05</f>
        <v>186.34</v>
      </c>
      <c r="G14" s="495"/>
      <c r="H14" s="495"/>
      <c r="I14" s="495"/>
      <c r="J14" s="495"/>
      <c r="K14" s="495"/>
      <c r="L14" s="495"/>
      <c r="M14" s="495"/>
    </row>
    <row r="15" spans="1:13" x14ac:dyDescent="0.2">
      <c r="A15" s="780">
        <v>2314</v>
      </c>
      <c r="B15" s="776" t="s">
        <v>1005</v>
      </c>
      <c r="C15" s="773">
        <v>0</v>
      </c>
      <c r="D15" s="773">
        <v>19.39</v>
      </c>
      <c r="E15" s="793">
        <v>19.3842</v>
      </c>
      <c r="G15" s="495"/>
      <c r="H15" s="495"/>
      <c r="I15" s="495"/>
      <c r="J15" s="495"/>
      <c r="K15" s="495"/>
      <c r="L15" s="495"/>
      <c r="M15" s="495"/>
    </row>
    <row r="16" spans="1:13" x14ac:dyDescent="0.2">
      <c r="A16" s="780">
        <v>2314</v>
      </c>
      <c r="B16" s="776" t="s">
        <v>943</v>
      </c>
      <c r="C16" s="773">
        <f>10000+10000</f>
        <v>20000</v>
      </c>
      <c r="D16" s="773">
        <f>77444+76863.58</f>
        <v>154307.58000000002</v>
      </c>
      <c r="E16" s="793">
        <f>61038.78875+75070.02718</f>
        <v>136108.81593000001</v>
      </c>
      <c r="G16" s="495"/>
      <c r="H16" s="495"/>
      <c r="I16" s="495"/>
      <c r="J16" s="495"/>
      <c r="K16" s="495"/>
      <c r="L16" s="495"/>
      <c r="M16" s="495"/>
    </row>
    <row r="17" spans="1:13" x14ac:dyDescent="0.2">
      <c r="A17" s="780">
        <v>2314</v>
      </c>
      <c r="B17" s="776" t="s">
        <v>1007</v>
      </c>
      <c r="C17" s="773">
        <v>100</v>
      </c>
      <c r="D17" s="773">
        <v>100</v>
      </c>
      <c r="E17" s="793">
        <v>0</v>
      </c>
      <c r="G17" s="495"/>
      <c r="H17" s="495"/>
      <c r="I17" s="495"/>
      <c r="J17" s="495"/>
      <c r="K17" s="495"/>
      <c r="L17" s="495"/>
      <c r="M17" s="495"/>
    </row>
    <row r="18" spans="1:13" x14ac:dyDescent="0.2">
      <c r="A18" s="780">
        <v>2314</v>
      </c>
      <c r="B18" s="776" t="s">
        <v>1006</v>
      </c>
      <c r="C18" s="773">
        <v>5</v>
      </c>
      <c r="D18" s="773">
        <v>100</v>
      </c>
      <c r="E18" s="793">
        <v>0</v>
      </c>
      <c r="G18" s="495"/>
      <c r="H18" s="495"/>
      <c r="I18" s="495"/>
      <c r="J18" s="495"/>
      <c r="K18" s="495"/>
      <c r="L18" s="495"/>
      <c r="M18" s="495"/>
    </row>
    <row r="19" spans="1:13" x14ac:dyDescent="0.2">
      <c r="A19" s="780">
        <v>2314</v>
      </c>
      <c r="B19" s="776" t="s">
        <v>944</v>
      </c>
      <c r="C19" s="773">
        <v>0</v>
      </c>
      <c r="D19" s="773">
        <f>11957.14+2042.86</f>
        <v>14000</v>
      </c>
      <c r="E19" s="793">
        <f>5660.87783+384.08663</f>
        <v>6044.9644600000001</v>
      </c>
      <c r="G19" s="495"/>
      <c r="H19" s="495"/>
      <c r="I19" s="495"/>
      <c r="J19" s="495"/>
      <c r="K19" s="495"/>
      <c r="L19" s="495"/>
      <c r="M19" s="495"/>
    </row>
    <row r="20" spans="1:13" x14ac:dyDescent="0.2">
      <c r="A20" s="780">
        <v>2314</v>
      </c>
      <c r="B20" s="776" t="s">
        <v>945</v>
      </c>
      <c r="C20" s="773">
        <v>0</v>
      </c>
      <c r="D20" s="773">
        <f>9052.38+2337.62</f>
        <v>11390</v>
      </c>
      <c r="E20" s="793">
        <f>3782.55287+0</f>
        <v>3782.55287</v>
      </c>
      <c r="G20" s="495"/>
      <c r="H20" s="495"/>
      <c r="I20" s="495"/>
      <c r="J20" s="495"/>
      <c r="K20" s="495"/>
      <c r="L20" s="495"/>
      <c r="M20" s="495"/>
    </row>
    <row r="21" spans="1:13" x14ac:dyDescent="0.2">
      <c r="A21" s="780">
        <v>2314</v>
      </c>
      <c r="B21" s="776" t="s">
        <v>946</v>
      </c>
      <c r="C21" s="773">
        <v>0</v>
      </c>
      <c r="D21" s="773">
        <f>80+20</f>
        <v>100</v>
      </c>
      <c r="E21" s="793">
        <v>48.4</v>
      </c>
      <c r="G21" s="495"/>
      <c r="H21" s="495"/>
      <c r="I21" s="495"/>
      <c r="J21" s="495"/>
      <c r="K21" s="495"/>
      <c r="L21" s="495"/>
      <c r="M21" s="495"/>
    </row>
    <row r="22" spans="1:13" x14ac:dyDescent="0.2">
      <c r="A22" s="780">
        <v>2314</v>
      </c>
      <c r="B22" s="776" t="s">
        <v>1030</v>
      </c>
      <c r="C22" s="773">
        <v>10</v>
      </c>
      <c r="D22" s="773">
        <v>10</v>
      </c>
      <c r="E22" s="793">
        <v>0</v>
      </c>
      <c r="G22" s="495"/>
      <c r="H22" s="495"/>
      <c r="I22" s="495"/>
      <c r="J22" s="495"/>
      <c r="K22" s="495"/>
      <c r="L22" s="495"/>
      <c r="M22" s="495"/>
    </row>
    <row r="23" spans="1:13" x14ac:dyDescent="0.2">
      <c r="A23" s="780">
        <v>2314</v>
      </c>
      <c r="B23" s="776" t="s">
        <v>1010</v>
      </c>
      <c r="C23" s="773">
        <v>200</v>
      </c>
      <c r="D23" s="773">
        <v>370</v>
      </c>
      <c r="E23" s="793">
        <v>317.262</v>
      </c>
      <c r="G23" s="495"/>
      <c r="H23" s="495"/>
      <c r="I23" s="495"/>
      <c r="J23" s="495"/>
      <c r="K23" s="495"/>
      <c r="L23" s="495"/>
      <c r="M23" s="495"/>
    </row>
    <row r="24" spans="1:13" x14ac:dyDescent="0.2">
      <c r="A24" s="780">
        <v>2314</v>
      </c>
      <c r="B24" s="776" t="s">
        <v>1015</v>
      </c>
      <c r="C24" s="773">
        <v>150</v>
      </c>
      <c r="D24" s="773">
        <v>435</v>
      </c>
      <c r="E24" s="793">
        <v>392.04</v>
      </c>
      <c r="G24" s="495"/>
      <c r="H24" s="495"/>
      <c r="I24" s="495"/>
      <c r="J24" s="495"/>
      <c r="K24" s="495"/>
      <c r="L24" s="495"/>
      <c r="M24" s="495"/>
    </row>
    <row r="25" spans="1:13" x14ac:dyDescent="0.2">
      <c r="A25" s="780">
        <v>2314</v>
      </c>
      <c r="B25" s="776" t="s">
        <v>1014</v>
      </c>
      <c r="C25" s="773">
        <v>0</v>
      </c>
      <c r="D25" s="773">
        <v>3246</v>
      </c>
      <c r="E25" s="793">
        <v>0</v>
      </c>
      <c r="G25" s="495"/>
      <c r="H25" s="495"/>
      <c r="I25" s="495"/>
      <c r="J25" s="495"/>
      <c r="K25" s="495"/>
      <c r="L25" s="495"/>
      <c r="M25" s="495"/>
    </row>
    <row r="26" spans="1:13" x14ac:dyDescent="0.2">
      <c r="A26" s="780">
        <v>2314</v>
      </c>
      <c r="B26" s="776" t="s">
        <v>1016</v>
      </c>
      <c r="C26" s="773">
        <v>0</v>
      </c>
      <c r="D26" s="773">
        <v>1300</v>
      </c>
      <c r="E26" s="793">
        <v>1036.1500000000001</v>
      </c>
      <c r="G26" s="495"/>
      <c r="H26" s="495"/>
      <c r="I26" s="495"/>
      <c r="J26" s="495"/>
      <c r="K26" s="495"/>
      <c r="L26" s="495"/>
      <c r="M26" s="495"/>
    </row>
    <row r="27" spans="1:13" x14ac:dyDescent="0.2">
      <c r="A27" s="780">
        <v>2314</v>
      </c>
      <c r="B27" s="776" t="s">
        <v>947</v>
      </c>
      <c r="C27" s="773">
        <f>1000+250</f>
        <v>1250</v>
      </c>
      <c r="D27" s="773">
        <f>9785.8+964.2</f>
        <v>10750</v>
      </c>
      <c r="E27" s="793">
        <f>4313.18196+0</f>
        <v>4313.1819599999999</v>
      </c>
      <c r="G27" s="495"/>
      <c r="H27" s="495"/>
      <c r="I27" s="495"/>
      <c r="J27" s="495"/>
      <c r="K27" s="495"/>
      <c r="L27" s="495"/>
      <c r="M27" s="495"/>
    </row>
    <row r="28" spans="1:13" x14ac:dyDescent="0.2">
      <c r="A28" s="780">
        <v>2314</v>
      </c>
      <c r="B28" s="776" t="s">
        <v>948</v>
      </c>
      <c r="C28" s="773">
        <f>88+12</f>
        <v>100</v>
      </c>
      <c r="D28" s="773">
        <f>30088+8012</f>
        <v>38100</v>
      </c>
      <c r="E28" s="793">
        <f>12542.99291+111.97546</f>
        <v>12654.968370000001</v>
      </c>
      <c r="G28" s="495"/>
      <c r="H28" s="495"/>
      <c r="I28" s="495"/>
      <c r="J28" s="495"/>
      <c r="K28" s="495"/>
      <c r="L28" s="495"/>
      <c r="M28" s="495"/>
    </row>
    <row r="29" spans="1:13" ht="12.75" customHeight="1" x14ac:dyDescent="0.2">
      <c r="A29" s="780">
        <v>2314</v>
      </c>
      <c r="B29" s="776" t="s">
        <v>949</v>
      </c>
      <c r="C29" s="773">
        <f>4150+850</f>
        <v>5000</v>
      </c>
      <c r="D29" s="773">
        <f>11938+3062</f>
        <v>15000</v>
      </c>
      <c r="E29" s="793">
        <f>516.538+675.35999</f>
        <v>1191.8979899999999</v>
      </c>
      <c r="G29" s="495"/>
      <c r="H29" s="495"/>
      <c r="I29" s="495"/>
      <c r="J29" s="495"/>
      <c r="K29" s="495"/>
      <c r="L29" s="495"/>
      <c r="M29" s="495"/>
    </row>
    <row r="30" spans="1:13" ht="12.75" customHeight="1" x14ac:dyDescent="0.2">
      <c r="A30" s="780">
        <v>2314</v>
      </c>
      <c r="B30" s="776" t="s">
        <v>950</v>
      </c>
      <c r="C30" s="773">
        <f>12113+2587</f>
        <v>14700</v>
      </c>
      <c r="D30" s="773">
        <f>50588.41+7997</f>
        <v>58585.41</v>
      </c>
      <c r="E30" s="793">
        <f>49518.61623+7707.35819</f>
        <v>57225.974419999999</v>
      </c>
      <c r="G30" s="495"/>
      <c r="H30" s="495"/>
      <c r="I30" s="495"/>
      <c r="J30" s="495"/>
      <c r="K30" s="495"/>
      <c r="L30" s="495"/>
      <c r="M30" s="495"/>
    </row>
    <row r="31" spans="1:13" x14ac:dyDescent="0.2">
      <c r="A31" s="780">
        <v>2302</v>
      </c>
      <c r="B31" s="776" t="s">
        <v>951</v>
      </c>
      <c r="C31" s="773">
        <v>0</v>
      </c>
      <c r="D31" s="773">
        <f>54+546</f>
        <v>600</v>
      </c>
      <c r="E31" s="793">
        <f>51.4008+8.5668</f>
        <v>59.967599999999997</v>
      </c>
      <c r="G31" s="495"/>
      <c r="H31" s="495"/>
      <c r="I31" s="495"/>
      <c r="J31" s="495"/>
      <c r="K31" s="495"/>
      <c r="L31" s="495"/>
      <c r="M31" s="495"/>
    </row>
    <row r="32" spans="1:13" ht="12.75" customHeight="1" x14ac:dyDescent="0.2">
      <c r="A32" s="780">
        <v>2302</v>
      </c>
      <c r="B32" s="776" t="s">
        <v>952</v>
      </c>
      <c r="C32" s="773">
        <v>0</v>
      </c>
      <c r="D32" s="773">
        <f>1370+30</f>
        <v>1400</v>
      </c>
      <c r="E32" s="793">
        <v>51.400800000000004</v>
      </c>
      <c r="G32" s="495"/>
      <c r="H32" s="495"/>
      <c r="I32" s="495"/>
      <c r="J32" s="495"/>
      <c r="K32" s="495"/>
      <c r="L32" s="495"/>
      <c r="M32" s="495"/>
    </row>
    <row r="33" spans="1:13" x14ac:dyDescent="0.2">
      <c r="A33" s="780">
        <v>2302</v>
      </c>
      <c r="B33" s="776" t="s">
        <v>953</v>
      </c>
      <c r="C33" s="773">
        <v>0</v>
      </c>
      <c r="D33" s="773">
        <f>51.4+8.6</f>
        <v>60</v>
      </c>
      <c r="E33" s="793">
        <v>51.400800000000004</v>
      </c>
      <c r="G33" s="495"/>
      <c r="H33" s="495"/>
      <c r="I33" s="495"/>
      <c r="J33" s="495"/>
      <c r="K33" s="495"/>
      <c r="L33" s="495"/>
      <c r="M33" s="495"/>
    </row>
    <row r="34" spans="1:13" s="495" customFormat="1" x14ac:dyDescent="0.2">
      <c r="A34" s="814">
        <v>2314</v>
      </c>
      <c r="B34" s="815" t="s">
        <v>1019</v>
      </c>
      <c r="C34" s="124">
        <v>0</v>
      </c>
      <c r="D34" s="809">
        <v>110</v>
      </c>
      <c r="E34" s="809">
        <v>0</v>
      </c>
      <c r="F34" s="799"/>
    </row>
    <row r="35" spans="1:13" s="495" customFormat="1" x14ac:dyDescent="0.2">
      <c r="A35" s="814">
        <v>2314</v>
      </c>
      <c r="B35" s="815" t="s">
        <v>1020</v>
      </c>
      <c r="C35" s="124">
        <v>0</v>
      </c>
      <c r="D35" s="809">
        <v>110</v>
      </c>
      <c r="E35" s="809">
        <v>0</v>
      </c>
      <c r="F35" s="799"/>
    </row>
    <row r="36" spans="1:13" x14ac:dyDescent="0.2">
      <c r="A36" s="780">
        <v>2306</v>
      </c>
      <c r="B36" s="776" t="s">
        <v>954</v>
      </c>
      <c r="C36" s="773">
        <f>70+30</f>
        <v>100</v>
      </c>
      <c r="D36" s="773">
        <f>18570+5030</f>
        <v>23600</v>
      </c>
      <c r="E36" s="793">
        <f>22.8448+1056.2695</f>
        <v>1079.1143000000002</v>
      </c>
      <c r="G36" s="495"/>
      <c r="H36" s="495"/>
      <c r="I36" s="495"/>
      <c r="J36" s="495"/>
      <c r="K36" s="495"/>
      <c r="L36" s="495"/>
      <c r="M36" s="495"/>
    </row>
    <row r="37" spans="1:13" x14ac:dyDescent="0.2">
      <c r="A37" s="780">
        <v>2306</v>
      </c>
      <c r="B37" s="776" t="s">
        <v>955</v>
      </c>
      <c r="C37" s="773">
        <v>0</v>
      </c>
      <c r="D37" s="773">
        <f>102550+1500</f>
        <v>104050</v>
      </c>
      <c r="E37" s="793">
        <f>68939.54804+1016.49952</f>
        <v>69956.047559999992</v>
      </c>
      <c r="G37" s="495"/>
      <c r="H37" s="495"/>
      <c r="I37" s="495"/>
      <c r="J37" s="495"/>
      <c r="K37" s="495"/>
      <c r="L37" s="495"/>
      <c r="M37" s="495"/>
    </row>
    <row r="38" spans="1:13" x14ac:dyDescent="0.2">
      <c r="A38" s="780">
        <v>2306</v>
      </c>
      <c r="B38" s="776" t="s">
        <v>956</v>
      </c>
      <c r="C38" s="773">
        <f>11600+4400</f>
        <v>16000</v>
      </c>
      <c r="D38" s="773">
        <f>13000+3000</f>
        <v>16000</v>
      </c>
      <c r="E38" s="793">
        <f>11893.15485+2964.38099</f>
        <v>14857.53584</v>
      </c>
      <c r="G38" s="495"/>
      <c r="H38" s="495"/>
      <c r="I38" s="495"/>
      <c r="J38" s="495"/>
      <c r="K38" s="495"/>
      <c r="L38" s="495"/>
      <c r="M38" s="495"/>
    </row>
    <row r="39" spans="1:13" x14ac:dyDescent="0.2">
      <c r="A39" s="780">
        <v>2306</v>
      </c>
      <c r="B39" s="776" t="s">
        <v>957</v>
      </c>
      <c r="C39" s="773">
        <f>5900+202.8</f>
        <v>6102.8</v>
      </c>
      <c r="D39" s="773">
        <f>20800+302.8</f>
        <v>21102.799999999999</v>
      </c>
      <c r="E39" s="793">
        <v>3913.75108</v>
      </c>
      <c r="G39" s="495"/>
      <c r="H39" s="495"/>
      <c r="I39" s="495"/>
      <c r="J39" s="495"/>
      <c r="K39" s="495"/>
      <c r="L39" s="495"/>
      <c r="M39" s="495"/>
    </row>
    <row r="40" spans="1:13" x14ac:dyDescent="0.2">
      <c r="A40" s="780">
        <v>2306</v>
      </c>
      <c r="B40" s="776" t="s">
        <v>958</v>
      </c>
      <c r="C40" s="773">
        <f>5000+1000</f>
        <v>6000</v>
      </c>
      <c r="D40" s="773">
        <f>16000+4000</f>
        <v>20000</v>
      </c>
      <c r="E40" s="793">
        <f>15451.18074+969.41814</f>
        <v>16420.598880000001</v>
      </c>
      <c r="G40" s="495"/>
      <c r="H40" s="495"/>
      <c r="I40" s="495"/>
      <c r="J40" s="495"/>
      <c r="K40" s="495"/>
      <c r="L40" s="495"/>
      <c r="M40" s="495"/>
    </row>
    <row r="41" spans="1:13" x14ac:dyDescent="0.2">
      <c r="A41" s="780">
        <v>2306</v>
      </c>
      <c r="B41" s="776" t="s">
        <v>959</v>
      </c>
      <c r="C41" s="773">
        <f>10000+10000</f>
        <v>20000</v>
      </c>
      <c r="D41" s="773">
        <f>80100+17480</f>
        <v>97580</v>
      </c>
      <c r="E41" s="793">
        <f>54883.84945+10530.62326</f>
        <v>65414.472710000002</v>
      </c>
      <c r="G41" s="495"/>
      <c r="H41" s="495"/>
      <c r="I41" s="495"/>
      <c r="J41" s="495"/>
      <c r="K41" s="495"/>
      <c r="L41" s="495"/>
      <c r="M41" s="495"/>
    </row>
    <row r="42" spans="1:13" x14ac:dyDescent="0.2">
      <c r="A42" s="780">
        <v>2306</v>
      </c>
      <c r="B42" s="776" t="s">
        <v>960</v>
      </c>
      <c r="C42" s="773">
        <f>7700+11450</f>
        <v>19150</v>
      </c>
      <c r="D42" s="773">
        <f>7700+11450</f>
        <v>19150</v>
      </c>
      <c r="E42" s="793">
        <f>7235.8396+9349.65556</f>
        <v>16585.495159999999</v>
      </c>
      <c r="G42" s="495"/>
      <c r="H42" s="495"/>
      <c r="I42" s="495"/>
      <c r="J42" s="495"/>
      <c r="K42" s="495"/>
      <c r="L42" s="495"/>
      <c r="M42" s="495"/>
    </row>
    <row r="43" spans="1:13" x14ac:dyDescent="0.2">
      <c r="A43" s="780">
        <v>2306</v>
      </c>
      <c r="B43" s="776" t="s">
        <v>961</v>
      </c>
      <c r="C43" s="773">
        <v>0</v>
      </c>
      <c r="D43" s="773">
        <f>12000+3000</f>
        <v>15000</v>
      </c>
      <c r="E43" s="793">
        <f>0+25.742</f>
        <v>25.742000000000001</v>
      </c>
      <c r="G43" s="495"/>
      <c r="H43" s="495"/>
      <c r="I43" s="495"/>
      <c r="J43" s="495"/>
      <c r="K43" s="495"/>
      <c r="L43" s="495"/>
      <c r="M43" s="495"/>
    </row>
    <row r="44" spans="1:13" x14ac:dyDescent="0.2">
      <c r="A44" s="814">
        <v>2306</v>
      </c>
      <c r="B44" s="815" t="s">
        <v>998</v>
      </c>
      <c r="C44" s="124">
        <v>100</v>
      </c>
      <c r="D44" s="809">
        <v>200</v>
      </c>
      <c r="E44" s="809">
        <v>93.121600000000001</v>
      </c>
      <c r="G44" s="495"/>
      <c r="H44" s="495"/>
      <c r="I44" s="495"/>
      <c r="J44" s="495"/>
      <c r="K44" s="495"/>
      <c r="L44" s="495"/>
      <c r="M44" s="495"/>
    </row>
    <row r="45" spans="1:13" x14ac:dyDescent="0.2">
      <c r="A45" s="814">
        <v>2306</v>
      </c>
      <c r="B45" s="815" t="s">
        <v>999</v>
      </c>
      <c r="C45" s="124">
        <v>400</v>
      </c>
      <c r="D45" s="809">
        <v>500</v>
      </c>
      <c r="E45" s="809">
        <v>0</v>
      </c>
      <c r="G45" s="495"/>
      <c r="H45" s="495"/>
      <c r="I45" s="495"/>
      <c r="J45" s="495"/>
      <c r="K45" s="495"/>
      <c r="L45" s="495"/>
      <c r="M45" s="495"/>
    </row>
    <row r="46" spans="1:13" x14ac:dyDescent="0.2">
      <c r="A46" s="814">
        <v>2306</v>
      </c>
      <c r="B46" s="815" t="s">
        <v>1000</v>
      </c>
      <c r="C46" s="124">
        <v>55</v>
      </c>
      <c r="D46" s="809">
        <v>55</v>
      </c>
      <c r="E46" s="809">
        <v>19.8</v>
      </c>
      <c r="G46" s="495"/>
      <c r="H46" s="495"/>
      <c r="I46" s="495"/>
      <c r="J46" s="495"/>
      <c r="K46" s="495"/>
      <c r="L46" s="495"/>
      <c r="M46" s="495"/>
    </row>
    <row r="47" spans="1:13" x14ac:dyDescent="0.2">
      <c r="A47" s="814">
        <v>2306</v>
      </c>
      <c r="B47" s="815" t="s">
        <v>1003</v>
      </c>
      <c r="C47" s="124">
        <v>100</v>
      </c>
      <c r="D47" s="809">
        <v>3100</v>
      </c>
      <c r="E47" s="809">
        <v>2922.15</v>
      </c>
      <c r="G47" s="495"/>
      <c r="H47" s="495"/>
      <c r="I47" s="495"/>
      <c r="J47" s="495"/>
      <c r="K47" s="495"/>
      <c r="L47" s="495"/>
      <c r="M47" s="495"/>
    </row>
    <row r="48" spans="1:13" x14ac:dyDescent="0.2">
      <c r="A48" s="814">
        <v>2306</v>
      </c>
      <c r="B48" s="815" t="s">
        <v>1001</v>
      </c>
      <c r="C48" s="124">
        <v>0</v>
      </c>
      <c r="D48" s="809">
        <v>1650</v>
      </c>
      <c r="E48" s="809">
        <v>0.52</v>
      </c>
      <c r="G48" s="495"/>
      <c r="H48" s="495"/>
      <c r="I48" s="495"/>
      <c r="J48" s="495"/>
      <c r="K48" s="495"/>
      <c r="L48" s="495"/>
      <c r="M48" s="495"/>
    </row>
    <row r="49" spans="1:13" x14ac:dyDescent="0.2">
      <c r="A49" s="814">
        <v>2306</v>
      </c>
      <c r="B49" s="815" t="s">
        <v>1002</v>
      </c>
      <c r="C49" s="124">
        <v>0</v>
      </c>
      <c r="D49" s="809">
        <v>250</v>
      </c>
      <c r="E49" s="809">
        <v>181.5</v>
      </c>
      <c r="G49" s="495"/>
      <c r="H49" s="495"/>
      <c r="I49" s="495"/>
      <c r="J49" s="495"/>
      <c r="K49" s="495"/>
      <c r="L49" s="495"/>
      <c r="M49" s="495"/>
    </row>
    <row r="50" spans="1:13" x14ac:dyDescent="0.2">
      <c r="A50" s="780">
        <v>2314</v>
      </c>
      <c r="B50" s="776" t="s">
        <v>1022</v>
      </c>
      <c r="C50" s="773">
        <v>0</v>
      </c>
      <c r="D50" s="773">
        <v>5260.5</v>
      </c>
      <c r="E50" s="793">
        <v>238.37</v>
      </c>
      <c r="G50" s="495"/>
      <c r="H50" s="495"/>
      <c r="I50" s="495"/>
      <c r="J50" s="495"/>
      <c r="K50" s="495"/>
      <c r="L50" s="495"/>
      <c r="M50" s="495"/>
    </row>
    <row r="51" spans="1:13" x14ac:dyDescent="0.2">
      <c r="A51" s="780">
        <v>2314</v>
      </c>
      <c r="B51" s="776" t="s">
        <v>1021</v>
      </c>
      <c r="C51" s="773">
        <v>0</v>
      </c>
      <c r="D51" s="773">
        <v>5660.5</v>
      </c>
      <c r="E51" s="793">
        <v>661.62800000000004</v>
      </c>
      <c r="G51" s="495"/>
      <c r="H51" s="495"/>
      <c r="I51" s="495"/>
      <c r="J51" s="495"/>
      <c r="K51" s="495"/>
      <c r="L51" s="495"/>
      <c r="M51" s="495"/>
    </row>
    <row r="52" spans="1:13" x14ac:dyDescent="0.2">
      <c r="A52" s="780">
        <v>2306</v>
      </c>
      <c r="B52" s="776" t="s">
        <v>962</v>
      </c>
      <c r="C52" s="773">
        <v>0</v>
      </c>
      <c r="D52" s="773">
        <f>51820+5500</f>
        <v>57320</v>
      </c>
      <c r="E52" s="793">
        <f>48567.10032+1864.91614</f>
        <v>50432.016459999999</v>
      </c>
      <c r="G52" s="495"/>
      <c r="H52" s="495"/>
      <c r="I52" s="495"/>
      <c r="J52" s="495"/>
      <c r="K52" s="495"/>
      <c r="L52" s="495"/>
      <c r="M52" s="495"/>
    </row>
    <row r="53" spans="1:13" x14ac:dyDescent="0.2">
      <c r="A53" s="780">
        <v>2306</v>
      </c>
      <c r="B53" s="776" t="s">
        <v>963</v>
      </c>
      <c r="C53" s="773">
        <v>10</v>
      </c>
      <c r="D53" s="773">
        <f>12300+3760</f>
        <v>16060</v>
      </c>
      <c r="E53" s="793">
        <f>8703.77071+3346.47363</f>
        <v>12050.244340000001</v>
      </c>
      <c r="G53" s="495"/>
      <c r="H53" s="495"/>
      <c r="I53" s="495"/>
      <c r="J53" s="495"/>
      <c r="K53" s="495"/>
      <c r="L53" s="495"/>
      <c r="M53" s="495"/>
    </row>
    <row r="54" spans="1:13" x14ac:dyDescent="0.2">
      <c r="A54" s="780">
        <v>2306</v>
      </c>
      <c r="B54" s="776" t="s">
        <v>964</v>
      </c>
      <c r="C54" s="773">
        <v>0</v>
      </c>
      <c r="D54" s="773">
        <f>70+30</f>
        <v>100</v>
      </c>
      <c r="E54" s="793">
        <f>0+29.9838</f>
        <v>29.983799999999999</v>
      </c>
      <c r="G54" s="495"/>
      <c r="H54" s="495"/>
      <c r="I54" s="495"/>
      <c r="J54" s="495"/>
      <c r="K54" s="495"/>
      <c r="L54" s="495"/>
      <c r="M54" s="495"/>
    </row>
    <row r="55" spans="1:13" x14ac:dyDescent="0.2">
      <c r="A55" s="780">
        <v>2306</v>
      </c>
      <c r="B55" s="776" t="s">
        <v>965</v>
      </c>
      <c r="C55" s="773">
        <f>4500+5500</f>
        <v>10000</v>
      </c>
      <c r="D55" s="773">
        <f>33500+10000</f>
        <v>43500</v>
      </c>
      <c r="E55" s="793">
        <f>32911.65974+7408.7695</f>
        <v>40320.429240000005</v>
      </c>
      <c r="G55" s="495"/>
      <c r="H55" s="495"/>
      <c r="I55" s="495"/>
      <c r="J55" s="495"/>
      <c r="K55" s="495"/>
      <c r="L55" s="495"/>
      <c r="M55" s="495"/>
    </row>
    <row r="56" spans="1:13" x14ac:dyDescent="0.2">
      <c r="A56" s="780">
        <v>2314</v>
      </c>
      <c r="B56" s="776" t="s">
        <v>1023</v>
      </c>
      <c r="C56" s="773">
        <v>0</v>
      </c>
      <c r="D56" s="773">
        <v>9000</v>
      </c>
      <c r="E56" s="793">
        <v>418.05</v>
      </c>
      <c r="G56" s="495"/>
      <c r="H56" s="495"/>
      <c r="I56" s="495"/>
      <c r="J56" s="495"/>
      <c r="K56" s="495"/>
      <c r="L56" s="495"/>
      <c r="M56" s="495"/>
    </row>
    <row r="57" spans="1:13" ht="22.5" x14ac:dyDescent="0.2">
      <c r="A57" s="788">
        <v>2307</v>
      </c>
      <c r="B57" s="721" t="s">
        <v>820</v>
      </c>
      <c r="C57" s="700">
        <f>2373.14-2135.82</f>
        <v>237.31999999999971</v>
      </c>
      <c r="D57" s="700">
        <f>4046.89-2135.82</f>
        <v>1911.0699999999997</v>
      </c>
      <c r="E57" s="342">
        <f>4046.89207-2135.82</f>
        <v>1911.0720699999997</v>
      </c>
      <c r="G57" s="627"/>
      <c r="H57" s="803"/>
      <c r="I57" s="803"/>
      <c r="J57" s="495"/>
      <c r="K57" s="495"/>
      <c r="L57" s="495"/>
      <c r="M57" s="495"/>
    </row>
    <row r="58" spans="1:13" x14ac:dyDescent="0.2">
      <c r="A58" s="780">
        <v>2314</v>
      </c>
      <c r="B58" s="776" t="s">
        <v>966</v>
      </c>
      <c r="C58" s="773">
        <v>300</v>
      </c>
      <c r="D58" s="773">
        <f>1790+10</f>
        <v>1800</v>
      </c>
      <c r="E58" s="793">
        <f>1496.20479+0.50181</f>
        <v>1496.7066</v>
      </c>
      <c r="G58" s="495"/>
      <c r="H58" s="495"/>
      <c r="I58" s="495"/>
      <c r="J58" s="495"/>
      <c r="K58" s="495"/>
      <c r="L58" s="495"/>
      <c r="M58" s="495"/>
    </row>
    <row r="59" spans="1:13" s="341" customFormat="1" x14ac:dyDescent="0.2">
      <c r="A59" s="78"/>
      <c r="B59" s="593"/>
      <c r="C59" s="79"/>
      <c r="D59" s="79"/>
      <c r="E59" s="83" t="s">
        <v>794</v>
      </c>
      <c r="F59" s="798"/>
      <c r="G59" s="503"/>
      <c r="H59" s="503"/>
      <c r="I59" s="503"/>
      <c r="J59" s="503"/>
      <c r="K59" s="503"/>
      <c r="L59" s="503"/>
      <c r="M59" s="503"/>
    </row>
    <row r="60" spans="1:13" s="341" customFormat="1" ht="31.5" customHeight="1" x14ac:dyDescent="0.2">
      <c r="A60" s="1913" t="s">
        <v>735</v>
      </c>
      <c r="B60" s="1913"/>
      <c r="C60" s="1914"/>
      <c r="D60" s="1914"/>
      <c r="E60" s="1914"/>
      <c r="F60" s="798"/>
      <c r="G60" s="503"/>
      <c r="H60" s="503"/>
      <c r="I60" s="503"/>
      <c r="J60" s="503"/>
      <c r="K60" s="503"/>
      <c r="L60" s="503"/>
      <c r="M60" s="503"/>
    </row>
    <row r="61" spans="1:13" s="341" customFormat="1" ht="15" x14ac:dyDescent="0.2">
      <c r="A61" s="713"/>
      <c r="B61" s="714"/>
      <c r="C61" s="595"/>
      <c r="D61" s="595"/>
      <c r="E61" s="595"/>
      <c r="F61" s="798"/>
      <c r="G61" s="503"/>
      <c r="H61" s="503"/>
      <c r="I61" s="503"/>
      <c r="J61" s="503"/>
      <c r="K61" s="503"/>
      <c r="L61" s="503"/>
      <c r="M61" s="503"/>
    </row>
    <row r="62" spans="1:13" s="341" customFormat="1" ht="15.75" x14ac:dyDescent="0.2">
      <c r="A62" s="1915" t="s">
        <v>84</v>
      </c>
      <c r="B62" s="1915"/>
      <c r="C62" s="1916"/>
      <c r="D62" s="1916"/>
      <c r="E62" s="1916"/>
      <c r="F62" s="798"/>
      <c r="G62" s="503"/>
      <c r="H62" s="503"/>
      <c r="I62" s="503"/>
      <c r="J62" s="503"/>
      <c r="K62" s="503"/>
      <c r="L62" s="503"/>
      <c r="M62" s="503"/>
    </row>
    <row r="63" spans="1:13" s="341" customFormat="1" ht="15" x14ac:dyDescent="0.2">
      <c r="A63" s="713"/>
      <c r="B63" s="715"/>
      <c r="C63" s="595"/>
      <c r="D63" s="595"/>
      <c r="E63" s="608" t="s">
        <v>83</v>
      </c>
      <c r="F63" s="798"/>
      <c r="G63" s="503"/>
      <c r="H63" s="503"/>
      <c r="I63" s="503"/>
      <c r="J63" s="503"/>
      <c r="K63" s="503"/>
      <c r="L63" s="503"/>
      <c r="M63" s="503"/>
    </row>
    <row r="64" spans="1:13" s="341" customFormat="1" ht="24" x14ac:dyDescent="0.2">
      <c r="A64" s="597" t="s">
        <v>27</v>
      </c>
      <c r="B64" s="598" t="s">
        <v>0</v>
      </c>
      <c r="C64" s="807" t="s">
        <v>986</v>
      </c>
      <c r="D64" s="807" t="s">
        <v>987</v>
      </c>
      <c r="E64" s="807" t="s">
        <v>988</v>
      </c>
      <c r="F64" s="798"/>
      <c r="G64" s="503"/>
      <c r="H64" s="503"/>
      <c r="I64" s="503"/>
      <c r="J64" s="503"/>
      <c r="K64" s="503"/>
      <c r="L64" s="503"/>
      <c r="M64" s="503"/>
    </row>
    <row r="65" spans="1:13" s="341" customFormat="1" x14ac:dyDescent="0.2">
      <c r="A65" s="790" t="s">
        <v>653</v>
      </c>
      <c r="B65" s="822"/>
      <c r="C65" s="824"/>
      <c r="D65" s="825" t="s">
        <v>1034</v>
      </c>
      <c r="E65" s="826"/>
      <c r="F65" s="798"/>
      <c r="G65" s="503"/>
      <c r="H65" s="503"/>
      <c r="I65" s="503"/>
      <c r="J65" s="503"/>
      <c r="K65" s="503"/>
      <c r="L65" s="503"/>
      <c r="M65" s="503"/>
    </row>
    <row r="66" spans="1:13" s="341" customFormat="1" x14ac:dyDescent="0.2">
      <c r="A66" s="716" t="s">
        <v>75</v>
      </c>
      <c r="B66" s="823" t="s">
        <v>47</v>
      </c>
      <c r="C66" s="824"/>
      <c r="D66" s="825" t="s">
        <v>1034</v>
      </c>
      <c r="E66" s="826"/>
      <c r="F66" s="798"/>
      <c r="G66" s="503"/>
      <c r="H66" s="503"/>
      <c r="I66" s="503"/>
      <c r="J66" s="503"/>
      <c r="K66" s="503"/>
      <c r="L66" s="503"/>
      <c r="M66" s="503"/>
    </row>
    <row r="67" spans="1:13" x14ac:dyDescent="0.2">
      <c r="A67" s="818">
        <v>2302</v>
      </c>
      <c r="B67" s="819" t="s">
        <v>967</v>
      </c>
      <c r="C67" s="820">
        <v>1000</v>
      </c>
      <c r="D67" s="820">
        <v>2100</v>
      </c>
      <c r="E67" s="821">
        <v>1479.43272</v>
      </c>
      <c r="G67" s="495"/>
      <c r="H67" s="495"/>
      <c r="I67" s="495"/>
      <c r="J67" s="495"/>
      <c r="K67" s="495"/>
      <c r="L67" s="495"/>
      <c r="M67" s="495"/>
    </row>
    <row r="68" spans="1:13" x14ac:dyDescent="0.2">
      <c r="A68" s="780" t="s">
        <v>1032</v>
      </c>
      <c r="B68" s="776" t="s">
        <v>968</v>
      </c>
      <c r="C68" s="773">
        <v>0</v>
      </c>
      <c r="D68" s="793">
        <v>11000</v>
      </c>
      <c r="E68" s="793">
        <v>1256.72524</v>
      </c>
      <c r="F68" s="799"/>
      <c r="G68" s="498"/>
      <c r="H68" s="498"/>
      <c r="I68" s="495"/>
      <c r="J68" s="495"/>
      <c r="K68" s="495"/>
      <c r="L68" s="495"/>
      <c r="M68" s="495"/>
    </row>
    <row r="69" spans="1:13" x14ac:dyDescent="0.2">
      <c r="A69" s="780">
        <v>2314</v>
      </c>
      <c r="B69" s="776" t="s">
        <v>969</v>
      </c>
      <c r="C69" s="773">
        <v>0</v>
      </c>
      <c r="D69" s="773">
        <f>22690.53+493.5</f>
        <v>23184.03</v>
      </c>
      <c r="E69" s="793">
        <f>13440.59857+59.9676</f>
        <v>13500.56617</v>
      </c>
      <c r="G69" s="495"/>
      <c r="H69" s="495"/>
      <c r="I69" s="495"/>
      <c r="J69" s="495"/>
      <c r="K69" s="495"/>
      <c r="L69" s="495"/>
      <c r="M69" s="495"/>
    </row>
    <row r="70" spans="1:13" x14ac:dyDescent="0.2">
      <c r="A70" s="719">
        <v>2302</v>
      </c>
      <c r="B70" s="718" t="s">
        <v>994</v>
      </c>
      <c r="C70" s="700">
        <v>0</v>
      </c>
      <c r="D70" s="700">
        <v>7000</v>
      </c>
      <c r="E70" s="342">
        <v>59.967599999999997</v>
      </c>
      <c r="G70" s="495"/>
      <c r="H70" s="495"/>
      <c r="I70" s="495"/>
      <c r="J70" s="495"/>
      <c r="K70" s="495"/>
      <c r="L70" s="495"/>
      <c r="M70" s="495"/>
    </row>
    <row r="71" spans="1:13" x14ac:dyDescent="0.2">
      <c r="A71" s="719">
        <v>2302</v>
      </c>
      <c r="B71" s="718" t="s">
        <v>995</v>
      </c>
      <c r="C71" s="700">
        <v>0</v>
      </c>
      <c r="D71" s="700">
        <v>200</v>
      </c>
      <c r="E71" s="342">
        <v>0</v>
      </c>
      <c r="G71" s="495"/>
      <c r="H71" s="495"/>
      <c r="I71" s="495"/>
      <c r="J71" s="495"/>
      <c r="K71" s="495"/>
      <c r="L71" s="495"/>
      <c r="M71" s="495"/>
    </row>
    <row r="72" spans="1:13" x14ac:dyDescent="0.2">
      <c r="A72" s="719">
        <v>2302</v>
      </c>
      <c r="B72" s="718" t="s">
        <v>996</v>
      </c>
      <c r="C72" s="700">
        <v>0</v>
      </c>
      <c r="D72" s="700">
        <v>200</v>
      </c>
      <c r="E72" s="342">
        <v>0</v>
      </c>
      <c r="G72" s="495"/>
      <c r="H72" s="495"/>
      <c r="I72" s="495"/>
      <c r="J72" s="495"/>
      <c r="K72" s="495"/>
      <c r="L72" s="495"/>
      <c r="M72" s="495"/>
    </row>
    <row r="73" spans="1:13" x14ac:dyDescent="0.2">
      <c r="A73" s="780">
        <v>2314</v>
      </c>
      <c r="B73" s="776" t="s">
        <v>970</v>
      </c>
      <c r="C73" s="773">
        <f>60+60</f>
        <v>120</v>
      </c>
      <c r="D73" s="773">
        <f>72120+48120</f>
        <v>120240</v>
      </c>
      <c r="E73" s="793">
        <v>86.031000000000006</v>
      </c>
      <c r="G73" s="495"/>
      <c r="H73" s="495"/>
      <c r="I73" s="495"/>
      <c r="J73" s="495"/>
      <c r="K73" s="495"/>
      <c r="L73" s="495"/>
      <c r="M73" s="495"/>
    </row>
    <row r="74" spans="1:13" ht="7.5" customHeight="1" x14ac:dyDescent="0.2">
      <c r="A74" s="781"/>
      <c r="B74" s="718"/>
      <c r="C74" s="603"/>
      <c r="D74" s="603"/>
      <c r="E74" s="603"/>
      <c r="G74" s="495"/>
      <c r="H74" s="495"/>
      <c r="I74" s="495"/>
      <c r="J74" s="495"/>
      <c r="K74" s="495"/>
      <c r="L74" s="495"/>
      <c r="M74" s="495"/>
    </row>
    <row r="75" spans="1:13" x14ac:dyDescent="0.2">
      <c r="A75" s="1917" t="s">
        <v>656</v>
      </c>
      <c r="B75" s="1918"/>
      <c r="C75" s="599">
        <f>SUM(C77:C113)</f>
        <v>44379.56</v>
      </c>
      <c r="D75" s="599">
        <f t="shared" ref="D75:E75" si="0">SUM(D77:D113)</f>
        <v>264853.85000000003</v>
      </c>
      <c r="E75" s="599">
        <f t="shared" si="0"/>
        <v>181115.31816</v>
      </c>
      <c r="G75" s="495"/>
      <c r="H75" s="495"/>
      <c r="I75" s="495"/>
      <c r="J75" s="495"/>
      <c r="K75" s="495"/>
      <c r="L75" s="495"/>
      <c r="M75" s="495"/>
    </row>
    <row r="76" spans="1:13" x14ac:dyDescent="0.2">
      <c r="A76" s="716" t="s">
        <v>75</v>
      </c>
      <c r="B76" s="600" t="s">
        <v>47</v>
      </c>
      <c r="C76" s="599"/>
      <c r="D76" s="599"/>
      <c r="E76" s="599"/>
      <c r="F76" s="800"/>
      <c r="G76" s="495"/>
      <c r="H76" s="495"/>
      <c r="I76" s="495"/>
      <c r="J76" s="495"/>
      <c r="K76" s="495"/>
      <c r="L76" s="495"/>
      <c r="M76" s="495"/>
    </row>
    <row r="77" spans="1:13" x14ac:dyDescent="0.2">
      <c r="A77" s="783">
        <v>2314</v>
      </c>
      <c r="B77" s="767" t="s">
        <v>1033</v>
      </c>
      <c r="C77" s="771">
        <v>100</v>
      </c>
      <c r="D77" s="771">
        <v>100</v>
      </c>
      <c r="E77" s="794">
        <v>21.78</v>
      </c>
      <c r="G77" s="495"/>
      <c r="H77" s="495"/>
      <c r="I77" s="495"/>
      <c r="J77" s="495"/>
      <c r="K77" s="495"/>
      <c r="L77" s="495"/>
      <c r="M77" s="495"/>
    </row>
    <row r="78" spans="1:13" x14ac:dyDescent="0.2">
      <c r="A78" s="783">
        <v>2314</v>
      </c>
      <c r="B78" s="767" t="s">
        <v>914</v>
      </c>
      <c r="C78" s="771">
        <f>2000+1000</f>
        <v>3000</v>
      </c>
      <c r="D78" s="771">
        <f>3480+5020</f>
        <v>8500</v>
      </c>
      <c r="E78" s="794">
        <f>2106.59847+4797.29258</f>
        <v>6903.8910500000002</v>
      </c>
      <c r="F78" s="495"/>
      <c r="G78" s="495"/>
      <c r="H78" s="495"/>
      <c r="I78" s="495"/>
      <c r="J78" s="495"/>
      <c r="K78" s="495"/>
      <c r="L78" s="495"/>
      <c r="M78" s="495"/>
    </row>
    <row r="79" spans="1:13" x14ac:dyDescent="0.2">
      <c r="A79" s="783">
        <v>2314</v>
      </c>
      <c r="B79" s="767" t="s">
        <v>1008</v>
      </c>
      <c r="C79" s="771">
        <v>100</v>
      </c>
      <c r="D79" s="771">
        <v>100</v>
      </c>
      <c r="E79" s="794">
        <v>0</v>
      </c>
      <c r="F79" s="495"/>
      <c r="G79" s="495"/>
      <c r="H79" s="495"/>
      <c r="I79" s="495"/>
      <c r="J79" s="495"/>
      <c r="K79" s="495"/>
      <c r="L79" s="495"/>
      <c r="M79" s="495"/>
    </row>
    <row r="80" spans="1:13" x14ac:dyDescent="0.2">
      <c r="A80" s="783">
        <v>2302</v>
      </c>
      <c r="B80" s="767" t="s">
        <v>915</v>
      </c>
      <c r="C80" s="771">
        <v>24</v>
      </c>
      <c r="D80" s="771">
        <v>70</v>
      </c>
      <c r="E80" s="794">
        <v>57.353999999999999</v>
      </c>
      <c r="F80" s="800"/>
      <c r="G80" s="495"/>
      <c r="H80" s="495"/>
      <c r="I80" s="495"/>
      <c r="J80" s="495"/>
      <c r="K80" s="495"/>
      <c r="L80" s="495"/>
      <c r="M80" s="495"/>
    </row>
    <row r="81" spans="1:13" x14ac:dyDescent="0.2">
      <c r="A81" s="783">
        <v>2314</v>
      </c>
      <c r="B81" s="767" t="s">
        <v>916</v>
      </c>
      <c r="C81" s="771">
        <f>1600+400</f>
        <v>2000</v>
      </c>
      <c r="D81" s="771">
        <f>11600+2400</f>
        <v>14000</v>
      </c>
      <c r="E81" s="794">
        <f>10111.29694+18.15</f>
        <v>10129.44694</v>
      </c>
      <c r="F81" s="800"/>
      <c r="G81" s="495"/>
      <c r="H81" s="495"/>
      <c r="I81" s="495"/>
      <c r="J81" s="495"/>
      <c r="K81" s="495"/>
      <c r="L81" s="495"/>
      <c r="M81" s="495"/>
    </row>
    <row r="82" spans="1:13" x14ac:dyDescent="0.2">
      <c r="A82" s="783">
        <v>2314</v>
      </c>
      <c r="B82" s="767" t="s">
        <v>917</v>
      </c>
      <c r="C82" s="771">
        <f>1600+400</f>
        <v>2000</v>
      </c>
      <c r="D82" s="771">
        <f>11606+7394</f>
        <v>19000</v>
      </c>
      <c r="E82" s="794">
        <f>10192.12246+7343.33692</f>
        <v>17535.45938</v>
      </c>
      <c r="F82" s="800"/>
      <c r="G82" s="495"/>
      <c r="H82" s="495"/>
      <c r="I82" s="495"/>
      <c r="J82" s="495"/>
      <c r="K82" s="495"/>
      <c r="L82" s="495"/>
      <c r="M82" s="495"/>
    </row>
    <row r="83" spans="1:13" x14ac:dyDescent="0.2">
      <c r="A83" s="783">
        <v>2314</v>
      </c>
      <c r="B83" s="767" t="s">
        <v>918</v>
      </c>
      <c r="C83" s="771">
        <v>0</v>
      </c>
      <c r="D83" s="771">
        <f>12000+3000</f>
        <v>15000</v>
      </c>
      <c r="E83" s="794">
        <f>0+49.247</f>
        <v>49.247</v>
      </c>
      <c r="F83" s="800"/>
      <c r="G83" s="495"/>
      <c r="H83" s="495"/>
      <c r="I83" s="495"/>
      <c r="J83" s="495"/>
      <c r="K83" s="495"/>
      <c r="L83" s="495"/>
      <c r="M83" s="495"/>
    </row>
    <row r="84" spans="1:13" x14ac:dyDescent="0.2">
      <c r="A84" s="783">
        <v>2314</v>
      </c>
      <c r="B84" s="767" t="s">
        <v>919</v>
      </c>
      <c r="C84" s="771">
        <f>7000+500</f>
        <v>7500</v>
      </c>
      <c r="D84" s="771">
        <f>3490+4010</f>
        <v>7500</v>
      </c>
      <c r="E84" s="794">
        <f>3018.11567+3958.28687</f>
        <v>6976.40254</v>
      </c>
      <c r="F84" s="800"/>
      <c r="G84" s="495"/>
      <c r="H84" s="495"/>
      <c r="I84" s="495"/>
      <c r="J84" s="495"/>
      <c r="K84" s="495"/>
      <c r="L84" s="495"/>
      <c r="M84" s="495"/>
    </row>
    <row r="85" spans="1:13" x14ac:dyDescent="0.2">
      <c r="A85" s="783">
        <v>2314</v>
      </c>
      <c r="B85" s="767" t="s">
        <v>920</v>
      </c>
      <c r="C85" s="771">
        <f>8000+1009.56</f>
        <v>9009.56</v>
      </c>
      <c r="D85" s="771">
        <f>18000+2009.56</f>
        <v>20009.560000000001</v>
      </c>
      <c r="E85" s="794">
        <f>9045.58251+42.4226</f>
        <v>9088.0051100000001</v>
      </c>
      <c r="F85" s="800"/>
      <c r="G85" s="495"/>
      <c r="H85" s="495"/>
      <c r="I85" s="495"/>
      <c r="J85" s="495"/>
      <c r="K85" s="495"/>
      <c r="L85" s="495"/>
      <c r="M85" s="495"/>
    </row>
    <row r="86" spans="1:13" x14ac:dyDescent="0.2">
      <c r="A86" s="783">
        <v>2314</v>
      </c>
      <c r="B86" s="767" t="s">
        <v>921</v>
      </c>
      <c r="C86" s="771">
        <f>1800+600</f>
        <v>2400</v>
      </c>
      <c r="D86" s="771">
        <f>2830+270</f>
        <v>3100</v>
      </c>
      <c r="E86" s="794">
        <f>2825.24112+206.77909</f>
        <v>3032.0202100000001</v>
      </c>
      <c r="F86" s="800"/>
      <c r="G86" s="495"/>
      <c r="H86" s="495"/>
      <c r="I86" s="495"/>
      <c r="J86" s="495"/>
      <c r="K86" s="495"/>
      <c r="L86" s="495"/>
      <c r="M86" s="495"/>
    </row>
    <row r="87" spans="1:13" x14ac:dyDescent="0.2">
      <c r="A87" s="783">
        <v>2314</v>
      </c>
      <c r="B87" s="767" t="s">
        <v>922</v>
      </c>
      <c r="C87" s="771">
        <f>600+206</f>
        <v>806</v>
      </c>
      <c r="D87" s="771">
        <f>1450+456</f>
        <v>1906</v>
      </c>
      <c r="E87" s="794">
        <f>1243.89998+356.79257</f>
        <v>1600.69255</v>
      </c>
      <c r="F87" s="800"/>
      <c r="G87" s="495"/>
      <c r="H87" s="495"/>
      <c r="I87" s="495"/>
      <c r="J87" s="495"/>
      <c r="K87" s="495"/>
      <c r="L87" s="495"/>
      <c r="M87" s="495"/>
    </row>
    <row r="88" spans="1:13" x14ac:dyDescent="0.2">
      <c r="A88" s="783">
        <v>2314</v>
      </c>
      <c r="B88" s="767" t="s">
        <v>1009</v>
      </c>
      <c r="C88" s="771">
        <v>0</v>
      </c>
      <c r="D88" s="771">
        <v>418.46</v>
      </c>
      <c r="E88" s="794">
        <v>199.57660000000001</v>
      </c>
      <c r="F88" s="800"/>
      <c r="G88" s="495"/>
      <c r="H88" s="495"/>
      <c r="I88" s="495"/>
      <c r="J88" s="495"/>
      <c r="K88" s="495"/>
      <c r="L88" s="495"/>
      <c r="M88" s="495"/>
    </row>
    <row r="89" spans="1:13" x14ac:dyDescent="0.2">
      <c r="A89" s="783">
        <v>2314</v>
      </c>
      <c r="B89" s="767" t="s">
        <v>1011</v>
      </c>
      <c r="C89" s="771">
        <v>0</v>
      </c>
      <c r="D89" s="771">
        <v>350</v>
      </c>
      <c r="E89" s="794">
        <v>0</v>
      </c>
      <c r="F89" s="800"/>
      <c r="G89" s="495"/>
      <c r="H89" s="495"/>
      <c r="I89" s="495"/>
      <c r="J89" s="495"/>
      <c r="K89" s="495"/>
      <c r="L89" s="495"/>
      <c r="M89" s="495"/>
    </row>
    <row r="90" spans="1:13" x14ac:dyDescent="0.2">
      <c r="A90" s="783">
        <v>2314</v>
      </c>
      <c r="B90" s="767" t="s">
        <v>1012</v>
      </c>
      <c r="C90" s="771">
        <v>0</v>
      </c>
      <c r="D90" s="771">
        <v>350</v>
      </c>
      <c r="E90" s="794">
        <v>336.7</v>
      </c>
      <c r="F90" s="800"/>
      <c r="G90" s="495"/>
      <c r="H90" s="495"/>
      <c r="I90" s="495"/>
      <c r="J90" s="495"/>
      <c r="K90" s="495"/>
      <c r="L90" s="495"/>
      <c r="M90" s="495"/>
    </row>
    <row r="91" spans="1:13" x14ac:dyDescent="0.2">
      <c r="A91" s="783">
        <v>2314</v>
      </c>
      <c r="B91" s="767" t="s">
        <v>1017</v>
      </c>
      <c r="C91" s="771">
        <v>100</v>
      </c>
      <c r="D91" s="771">
        <v>100</v>
      </c>
      <c r="E91" s="794">
        <v>26.62</v>
      </c>
      <c r="F91" s="800"/>
      <c r="G91" s="495"/>
      <c r="H91" s="495"/>
      <c r="I91" s="495"/>
      <c r="J91" s="495"/>
      <c r="K91" s="495"/>
      <c r="L91" s="495"/>
      <c r="M91" s="495"/>
    </row>
    <row r="92" spans="1:13" x14ac:dyDescent="0.2">
      <c r="A92" s="783">
        <v>2314</v>
      </c>
      <c r="B92" s="767" t="s">
        <v>923</v>
      </c>
      <c r="C92" s="771">
        <f>4000+500</f>
        <v>4500</v>
      </c>
      <c r="D92" s="771">
        <f>8800+2900</f>
        <v>11700</v>
      </c>
      <c r="E92" s="794">
        <f>3652.51067+2839.84087</f>
        <v>6492.3515399999997</v>
      </c>
      <c r="F92" s="800"/>
      <c r="G92" s="495"/>
      <c r="H92" s="495"/>
      <c r="I92" s="495"/>
      <c r="J92" s="495"/>
      <c r="K92" s="495"/>
      <c r="L92" s="495"/>
      <c r="M92" s="495"/>
    </row>
    <row r="93" spans="1:13" x14ac:dyDescent="0.2">
      <c r="A93" s="783">
        <v>2314</v>
      </c>
      <c r="B93" s="767" t="s">
        <v>1018</v>
      </c>
      <c r="C93" s="771">
        <v>100</v>
      </c>
      <c r="D93" s="771">
        <v>100</v>
      </c>
      <c r="E93" s="794">
        <v>0</v>
      </c>
      <c r="F93" s="800"/>
      <c r="G93" s="495"/>
      <c r="H93" s="495"/>
      <c r="I93" s="495"/>
      <c r="J93" s="495"/>
      <c r="K93" s="495"/>
      <c r="L93" s="495"/>
      <c r="M93" s="495"/>
    </row>
    <row r="94" spans="1:13" x14ac:dyDescent="0.2">
      <c r="A94" s="783">
        <v>2302</v>
      </c>
      <c r="B94" s="767" t="s">
        <v>924</v>
      </c>
      <c r="C94" s="771">
        <f>400+75</f>
        <v>475</v>
      </c>
      <c r="D94" s="771">
        <f>1540+2159</f>
        <v>3699</v>
      </c>
      <c r="E94" s="794">
        <f>1538.61785+2127.43583</f>
        <v>3666.05368</v>
      </c>
      <c r="F94" s="800"/>
      <c r="G94" s="495"/>
      <c r="H94" s="495"/>
      <c r="I94" s="495"/>
      <c r="J94" s="495"/>
      <c r="K94" s="495"/>
      <c r="L94" s="495"/>
      <c r="M94" s="495"/>
    </row>
    <row r="95" spans="1:13" x14ac:dyDescent="0.2">
      <c r="A95" s="783">
        <v>2302</v>
      </c>
      <c r="B95" s="767" t="s">
        <v>925</v>
      </c>
      <c r="C95" s="771">
        <v>10</v>
      </c>
      <c r="D95" s="771">
        <f>1216+228</f>
        <v>1444</v>
      </c>
      <c r="E95" s="794">
        <f>576.86871+227.97081</f>
        <v>804.83951999999999</v>
      </c>
      <c r="F95" s="800"/>
      <c r="G95" s="495"/>
      <c r="H95" s="495"/>
      <c r="I95" s="495"/>
      <c r="J95" s="495"/>
      <c r="K95" s="495"/>
      <c r="L95" s="495"/>
      <c r="M95" s="495"/>
    </row>
    <row r="96" spans="1:13" x14ac:dyDescent="0.2">
      <c r="A96" s="783">
        <v>2302</v>
      </c>
      <c r="B96" s="767" t="s">
        <v>926</v>
      </c>
      <c r="C96" s="771">
        <f>3+2</f>
        <v>5</v>
      </c>
      <c r="D96" s="771">
        <f>493.7+776.3</f>
        <v>1270</v>
      </c>
      <c r="E96" s="794">
        <f>492.48408+774.52626</f>
        <v>1267.01034</v>
      </c>
      <c r="F96" s="800"/>
      <c r="G96" s="495"/>
      <c r="H96" s="495"/>
      <c r="I96" s="495"/>
      <c r="J96" s="495"/>
      <c r="K96" s="495"/>
      <c r="L96" s="495"/>
      <c r="M96" s="495"/>
    </row>
    <row r="97" spans="1:13" x14ac:dyDescent="0.2">
      <c r="A97" s="783">
        <v>2314</v>
      </c>
      <c r="B97" s="767" t="s">
        <v>927</v>
      </c>
      <c r="C97" s="771">
        <f>1000+100</f>
        <v>1100</v>
      </c>
      <c r="D97" s="771">
        <f>2000+500</f>
        <v>2500</v>
      </c>
      <c r="E97" s="794">
        <f>1944.05803+202.45717</f>
        <v>2146.5151999999998</v>
      </c>
      <c r="F97" s="800"/>
      <c r="G97" s="495"/>
      <c r="H97" s="495"/>
      <c r="I97" s="495"/>
      <c r="J97" s="495"/>
      <c r="K97" s="495"/>
      <c r="L97" s="495"/>
      <c r="M97" s="495"/>
    </row>
    <row r="98" spans="1:13" x14ac:dyDescent="0.2">
      <c r="A98" s="783">
        <v>2314</v>
      </c>
      <c r="B98" s="767" t="s">
        <v>928</v>
      </c>
      <c r="C98" s="771">
        <f>5000+600</f>
        <v>5600</v>
      </c>
      <c r="D98" s="771">
        <f>12000+2600</f>
        <v>14600</v>
      </c>
      <c r="E98" s="794">
        <f>9723.32157+2036.87958</f>
        <v>11760.201150000001</v>
      </c>
      <c r="F98" s="800"/>
      <c r="G98" s="495"/>
      <c r="H98" s="495"/>
      <c r="I98" s="495"/>
      <c r="J98" s="495"/>
      <c r="K98" s="495"/>
      <c r="L98" s="495"/>
      <c r="M98" s="495"/>
    </row>
    <row r="99" spans="1:13" x14ac:dyDescent="0.2">
      <c r="A99" s="783">
        <v>2302</v>
      </c>
      <c r="B99" s="767" t="s">
        <v>929</v>
      </c>
      <c r="C99" s="771">
        <f>40+5</f>
        <v>45</v>
      </c>
      <c r="D99" s="771">
        <f>71+10</f>
        <v>81</v>
      </c>
      <c r="E99" s="794">
        <f>70.11345+3.5695</f>
        <v>73.682950000000005</v>
      </c>
      <c r="F99" s="800"/>
      <c r="G99" s="495"/>
      <c r="H99" s="495"/>
      <c r="I99" s="495"/>
      <c r="J99" s="495"/>
      <c r="K99" s="495"/>
      <c r="L99" s="495"/>
      <c r="M99" s="495"/>
    </row>
    <row r="100" spans="1:13" x14ac:dyDescent="0.2">
      <c r="A100" s="783">
        <v>2302</v>
      </c>
      <c r="B100" s="767" t="s">
        <v>930</v>
      </c>
      <c r="C100" s="771">
        <v>0</v>
      </c>
      <c r="D100" s="771">
        <f>1653+25</f>
        <v>1678</v>
      </c>
      <c r="E100" s="794">
        <f>1619.18693+22.17686</f>
        <v>1641.3637900000001</v>
      </c>
      <c r="F100" s="800"/>
      <c r="G100" s="495"/>
      <c r="H100" s="495"/>
      <c r="I100" s="495"/>
      <c r="J100" s="495"/>
      <c r="K100" s="495"/>
      <c r="L100" s="495"/>
      <c r="M100" s="495"/>
    </row>
    <row r="101" spans="1:13" x14ac:dyDescent="0.2">
      <c r="A101" s="783">
        <v>2302</v>
      </c>
      <c r="B101" s="767" t="s">
        <v>931</v>
      </c>
      <c r="C101" s="771">
        <v>0</v>
      </c>
      <c r="D101" s="771">
        <f>2700+10</f>
        <v>2710</v>
      </c>
      <c r="E101" s="794">
        <v>65.218999999999994</v>
      </c>
      <c r="F101" s="800"/>
      <c r="G101" s="495"/>
      <c r="H101" s="495"/>
      <c r="I101" s="495"/>
      <c r="J101" s="495"/>
      <c r="K101" s="495"/>
      <c r="L101" s="495"/>
      <c r="M101" s="495"/>
    </row>
    <row r="102" spans="1:13" x14ac:dyDescent="0.2">
      <c r="A102" s="783">
        <v>2302</v>
      </c>
      <c r="B102" s="767" t="s">
        <v>932</v>
      </c>
      <c r="C102" s="771">
        <v>5</v>
      </c>
      <c r="D102" s="771">
        <f>1187+128</f>
        <v>1315</v>
      </c>
      <c r="E102" s="794">
        <f>1155.42417+50.04857</f>
        <v>1205.4727399999999</v>
      </c>
      <c r="F102" s="800"/>
      <c r="G102" s="495"/>
      <c r="H102" s="495"/>
      <c r="I102" s="495"/>
      <c r="J102" s="495"/>
      <c r="K102" s="495"/>
      <c r="L102" s="495"/>
      <c r="M102" s="495"/>
    </row>
    <row r="103" spans="1:13" x14ac:dyDescent="0.2">
      <c r="A103" s="783">
        <v>2314</v>
      </c>
      <c r="B103" s="767" t="s">
        <v>1026</v>
      </c>
      <c r="C103" s="771">
        <v>0</v>
      </c>
      <c r="D103" s="771">
        <v>110</v>
      </c>
      <c r="E103" s="794">
        <v>42.834000000000003</v>
      </c>
      <c r="F103" s="800"/>
      <c r="G103" s="495"/>
      <c r="H103" s="495"/>
      <c r="I103" s="495"/>
      <c r="J103" s="495"/>
      <c r="K103" s="495"/>
      <c r="L103" s="495"/>
      <c r="M103" s="495"/>
    </row>
    <row r="104" spans="1:13" x14ac:dyDescent="0.2">
      <c r="A104" s="783">
        <v>2314</v>
      </c>
      <c r="B104" s="767" t="s">
        <v>1027</v>
      </c>
      <c r="C104" s="771">
        <v>0</v>
      </c>
      <c r="D104" s="771">
        <v>200</v>
      </c>
      <c r="E104" s="794">
        <v>0</v>
      </c>
      <c r="F104" s="800"/>
      <c r="G104" s="495"/>
      <c r="H104" s="495"/>
      <c r="I104" s="495"/>
      <c r="J104" s="495"/>
      <c r="K104" s="495"/>
      <c r="L104" s="495"/>
      <c r="M104" s="495"/>
    </row>
    <row r="105" spans="1:13" x14ac:dyDescent="0.2">
      <c r="A105" s="783">
        <v>2314</v>
      </c>
      <c r="B105" s="767" t="s">
        <v>1028</v>
      </c>
      <c r="C105" s="771">
        <v>100</v>
      </c>
      <c r="D105" s="771">
        <v>100</v>
      </c>
      <c r="E105" s="794">
        <v>0</v>
      </c>
      <c r="F105" s="800"/>
      <c r="G105" s="495"/>
      <c r="H105" s="495"/>
      <c r="I105" s="495"/>
      <c r="J105" s="495"/>
      <c r="K105" s="495"/>
      <c r="L105" s="495"/>
      <c r="M105" s="495"/>
    </row>
    <row r="106" spans="1:13" x14ac:dyDescent="0.2">
      <c r="A106" s="783">
        <v>2314</v>
      </c>
      <c r="B106" s="767" t="s">
        <v>933</v>
      </c>
      <c r="C106" s="771">
        <f>3500+500</f>
        <v>4000</v>
      </c>
      <c r="D106" s="771">
        <f>19500+4500</f>
        <v>24000</v>
      </c>
      <c r="E106" s="794">
        <v>8675.3161099999998</v>
      </c>
      <c r="F106" s="800"/>
      <c r="G106" s="495"/>
      <c r="H106" s="495"/>
      <c r="I106" s="495"/>
      <c r="J106" s="495"/>
      <c r="K106" s="495"/>
      <c r="L106" s="495"/>
      <c r="M106" s="495"/>
    </row>
    <row r="107" spans="1:13" x14ac:dyDescent="0.2">
      <c r="A107" s="788">
        <v>2302</v>
      </c>
      <c r="B107" s="795" t="s">
        <v>1036</v>
      </c>
      <c r="C107" s="794">
        <v>0</v>
      </c>
      <c r="D107" s="794">
        <v>103411.41000000002</v>
      </c>
      <c r="E107" s="794">
        <v>85200.240890000001</v>
      </c>
      <c r="F107" s="801"/>
      <c r="G107" s="495"/>
      <c r="H107" s="495"/>
      <c r="I107" s="495"/>
      <c r="J107" s="495"/>
      <c r="K107" s="495"/>
      <c r="L107" s="495"/>
      <c r="M107" s="495"/>
    </row>
    <row r="108" spans="1:13" s="495" customFormat="1" x14ac:dyDescent="0.2">
      <c r="A108" s="816">
        <v>2302</v>
      </c>
      <c r="B108" s="817" t="s">
        <v>934</v>
      </c>
      <c r="C108" s="794">
        <v>0</v>
      </c>
      <c r="D108" s="794">
        <f>19.34+14.64</f>
        <v>33.980000000000004</v>
      </c>
      <c r="E108" s="794">
        <v>19.335999999999999</v>
      </c>
      <c r="F108" s="792"/>
    </row>
    <row r="109" spans="1:13" s="495" customFormat="1" x14ac:dyDescent="0.2">
      <c r="A109" s="816">
        <v>2302</v>
      </c>
      <c r="B109" s="817" t="s">
        <v>935</v>
      </c>
      <c r="C109" s="794">
        <v>0</v>
      </c>
      <c r="D109" s="794">
        <f>72.44+95</f>
        <v>167.44</v>
      </c>
      <c r="E109" s="794">
        <f>71.87287+95</f>
        <v>166.87287000000001</v>
      </c>
      <c r="F109" s="792"/>
    </row>
    <row r="110" spans="1:13" s="495" customFormat="1" x14ac:dyDescent="0.2">
      <c r="A110" s="816">
        <v>2302</v>
      </c>
      <c r="B110" s="817" t="s">
        <v>936</v>
      </c>
      <c r="C110" s="794">
        <v>0</v>
      </c>
      <c r="D110" s="794">
        <v>22.59</v>
      </c>
      <c r="E110" s="794">
        <v>0</v>
      </c>
      <c r="F110" s="792"/>
    </row>
    <row r="111" spans="1:13" s="495" customFormat="1" x14ac:dyDescent="0.2">
      <c r="A111" s="816">
        <v>2302</v>
      </c>
      <c r="B111" s="817" t="s">
        <v>937</v>
      </c>
      <c r="C111" s="794">
        <v>0</v>
      </c>
      <c r="D111" s="794">
        <f>3320.26+79.04</f>
        <v>3399.3</v>
      </c>
      <c r="E111" s="794">
        <v>1217.502</v>
      </c>
      <c r="F111" s="792"/>
    </row>
    <row r="112" spans="1:13" s="495" customFormat="1" x14ac:dyDescent="0.2">
      <c r="A112" s="816">
        <v>2302</v>
      </c>
      <c r="B112" s="817" t="s">
        <v>938</v>
      </c>
      <c r="C112" s="794">
        <v>1400</v>
      </c>
      <c r="D112" s="794">
        <f>2.68+1805.43</f>
        <v>1808.1100000000001</v>
      </c>
      <c r="E112" s="794">
        <f>0+713.311</f>
        <v>713.31100000000004</v>
      </c>
      <c r="F112" s="792"/>
    </row>
    <row r="113" spans="1:13" ht="7.5" customHeight="1" x14ac:dyDescent="0.2">
      <c r="A113" s="788"/>
      <c r="B113" s="796"/>
      <c r="C113" s="342"/>
      <c r="D113" s="342"/>
      <c r="E113" s="700"/>
      <c r="F113" s="802"/>
      <c r="G113" s="495"/>
      <c r="H113" s="495"/>
      <c r="I113" s="495"/>
      <c r="J113" s="495"/>
      <c r="K113" s="495"/>
      <c r="L113" s="495"/>
      <c r="M113" s="495"/>
    </row>
    <row r="114" spans="1:13" ht="24" customHeight="1" x14ac:dyDescent="0.2">
      <c r="A114" s="784"/>
      <c r="B114"/>
      <c r="C114"/>
      <c r="D114"/>
      <c r="E114"/>
      <c r="G114" s="495"/>
      <c r="H114" s="495"/>
      <c r="I114" s="495"/>
      <c r="J114" s="495"/>
      <c r="K114" s="495"/>
      <c r="L114" s="495"/>
      <c r="M114" s="495"/>
    </row>
    <row r="115" spans="1:13" ht="34.5" customHeight="1" x14ac:dyDescent="0.2">
      <c r="A115" s="784"/>
      <c r="B115"/>
      <c r="C115"/>
      <c r="D115"/>
      <c r="E115"/>
      <c r="G115" s="495"/>
      <c r="H115" s="495"/>
      <c r="I115" s="495"/>
      <c r="J115" s="495"/>
      <c r="K115" s="495"/>
      <c r="L115" s="495"/>
      <c r="M115" s="495"/>
    </row>
    <row r="116" spans="1:13" x14ac:dyDescent="0.2">
      <c r="A116" s="78"/>
      <c r="B116" s="593"/>
      <c r="C116" s="79"/>
      <c r="D116" s="79"/>
      <c r="E116" s="83" t="s">
        <v>795</v>
      </c>
      <c r="G116" s="495"/>
      <c r="H116" s="495"/>
      <c r="I116" s="495"/>
      <c r="J116" s="495"/>
      <c r="K116" s="495"/>
      <c r="L116" s="495"/>
      <c r="M116" s="495"/>
    </row>
    <row r="117" spans="1:13" ht="32.25" customHeight="1" x14ac:dyDescent="0.2">
      <c r="A117" s="1913" t="s">
        <v>735</v>
      </c>
      <c r="B117" s="1913"/>
      <c r="C117" s="1914"/>
      <c r="D117" s="1914"/>
      <c r="E117" s="1914"/>
      <c r="G117" s="495"/>
      <c r="H117" s="495"/>
      <c r="I117" s="495"/>
      <c r="J117" s="495"/>
      <c r="K117" s="495"/>
      <c r="L117" s="495"/>
      <c r="M117" s="495"/>
    </row>
    <row r="118" spans="1:13" ht="15" x14ac:dyDescent="0.2">
      <c r="A118" s="713"/>
      <c r="B118" s="714"/>
      <c r="C118" s="595"/>
      <c r="D118" s="595"/>
      <c r="E118" s="595"/>
      <c r="G118" s="495"/>
      <c r="H118" s="495"/>
      <c r="I118" s="495"/>
      <c r="J118" s="495"/>
      <c r="K118" s="495"/>
      <c r="L118" s="495"/>
      <c r="M118" s="495"/>
    </row>
    <row r="119" spans="1:13" ht="15.75" x14ac:dyDescent="0.2">
      <c r="A119" s="1915" t="s">
        <v>84</v>
      </c>
      <c r="B119" s="1915"/>
      <c r="C119" s="1916"/>
      <c r="D119" s="1916"/>
      <c r="E119" s="1916"/>
      <c r="G119" s="495"/>
      <c r="H119" s="495"/>
      <c r="I119" s="495"/>
      <c r="J119" s="495"/>
      <c r="K119" s="495"/>
      <c r="L119" s="495"/>
      <c r="M119" s="495"/>
    </row>
    <row r="120" spans="1:13" ht="15" x14ac:dyDescent="0.2">
      <c r="A120" s="713"/>
      <c r="B120" s="715"/>
      <c r="C120" s="595"/>
      <c r="D120" s="595"/>
      <c r="E120" s="608" t="s">
        <v>83</v>
      </c>
      <c r="G120" s="495"/>
      <c r="H120" s="495"/>
      <c r="I120" s="495"/>
      <c r="J120" s="495"/>
      <c r="K120" s="495"/>
      <c r="L120" s="495"/>
      <c r="M120" s="495"/>
    </row>
    <row r="121" spans="1:13" ht="24" x14ac:dyDescent="0.2">
      <c r="A121" s="597" t="s">
        <v>27</v>
      </c>
      <c r="B121" s="598" t="s">
        <v>0</v>
      </c>
      <c r="C121" s="606" t="s">
        <v>986</v>
      </c>
      <c r="D121" s="606" t="s">
        <v>987</v>
      </c>
      <c r="E121" s="606" t="s">
        <v>988</v>
      </c>
      <c r="G121" s="495"/>
      <c r="H121" s="495"/>
      <c r="I121" s="495"/>
      <c r="J121" s="495"/>
      <c r="K121" s="495"/>
      <c r="L121" s="495"/>
      <c r="M121" s="495"/>
    </row>
    <row r="122" spans="1:13" x14ac:dyDescent="0.2">
      <c r="A122" s="1917" t="s">
        <v>442</v>
      </c>
      <c r="B122" s="1918"/>
      <c r="C122" s="599">
        <f>SUM(C124:C189)</f>
        <v>7469</v>
      </c>
      <c r="D122" s="599">
        <f>SUM(D124:D189)</f>
        <v>120126.72999999998</v>
      </c>
      <c r="E122" s="599">
        <f>SUM(E124:E189)</f>
        <v>92552.789399999994</v>
      </c>
      <c r="G122" s="495"/>
      <c r="H122" s="495"/>
      <c r="I122" s="495"/>
      <c r="J122" s="495"/>
      <c r="K122" s="495"/>
      <c r="L122" s="495"/>
      <c r="M122" s="495"/>
    </row>
    <row r="123" spans="1:13" x14ac:dyDescent="0.2">
      <c r="A123" s="716" t="s">
        <v>75</v>
      </c>
      <c r="B123" s="600" t="s">
        <v>47</v>
      </c>
      <c r="C123" s="599"/>
      <c r="D123" s="599"/>
      <c r="E123" s="599"/>
      <c r="G123" s="495"/>
      <c r="H123" s="495"/>
      <c r="I123" s="495"/>
      <c r="J123" s="495"/>
      <c r="K123" s="495"/>
      <c r="L123" s="495"/>
      <c r="M123" s="495"/>
    </row>
    <row r="124" spans="1:13" x14ac:dyDescent="0.2">
      <c r="A124" s="785">
        <v>2302</v>
      </c>
      <c r="B124" s="768" t="s">
        <v>855</v>
      </c>
      <c r="C124" s="769">
        <v>2200</v>
      </c>
      <c r="D124" s="769">
        <f>12170.49+500</f>
        <v>12670.49</v>
      </c>
      <c r="E124" s="808">
        <f>4343.3889+144.68534</f>
        <v>4488.0742399999999</v>
      </c>
      <c r="G124" s="495"/>
      <c r="H124" s="495"/>
      <c r="I124" s="495"/>
      <c r="J124" s="495"/>
      <c r="K124" s="495"/>
      <c r="L124" s="495"/>
      <c r="M124" s="495"/>
    </row>
    <row r="125" spans="1:13" x14ac:dyDescent="0.2">
      <c r="A125" s="785">
        <v>2302</v>
      </c>
      <c r="B125" s="768" t="s">
        <v>856</v>
      </c>
      <c r="C125" s="769">
        <f>718.6+83.4</f>
        <v>802</v>
      </c>
      <c r="D125" s="769">
        <f>718.56+83.44</f>
        <v>802</v>
      </c>
      <c r="E125" s="808">
        <f>718.51957+83.34504</f>
        <v>801.86461000000008</v>
      </c>
      <c r="G125" s="495"/>
      <c r="H125" s="495"/>
      <c r="I125" s="495"/>
      <c r="J125" s="495"/>
      <c r="K125" s="495"/>
      <c r="L125" s="495"/>
      <c r="M125" s="495"/>
    </row>
    <row r="126" spans="1:13" x14ac:dyDescent="0.2">
      <c r="A126" s="785">
        <v>2302</v>
      </c>
      <c r="B126" s="768" t="s">
        <v>857</v>
      </c>
      <c r="C126" s="769">
        <v>0</v>
      </c>
      <c r="D126" s="769">
        <v>269.13</v>
      </c>
      <c r="E126" s="808">
        <v>0</v>
      </c>
      <c r="G126" s="495"/>
      <c r="H126" s="495"/>
      <c r="I126" s="495"/>
      <c r="J126" s="495"/>
      <c r="K126" s="495"/>
      <c r="L126" s="495"/>
      <c r="M126" s="495"/>
    </row>
    <row r="127" spans="1:13" x14ac:dyDescent="0.2">
      <c r="A127" s="785">
        <v>2302</v>
      </c>
      <c r="B127" s="768" t="s">
        <v>858</v>
      </c>
      <c r="C127" s="769">
        <v>0</v>
      </c>
      <c r="D127" s="769">
        <v>170</v>
      </c>
      <c r="E127" s="808">
        <v>0</v>
      </c>
      <c r="G127" s="495"/>
      <c r="H127" s="495"/>
      <c r="I127" s="495"/>
      <c r="J127" s="495"/>
      <c r="K127" s="495"/>
      <c r="L127" s="495"/>
      <c r="M127" s="495"/>
    </row>
    <row r="128" spans="1:13" x14ac:dyDescent="0.2">
      <c r="A128" s="785">
        <v>2302</v>
      </c>
      <c r="B128" s="768" t="s">
        <v>859</v>
      </c>
      <c r="C128" s="769">
        <v>0</v>
      </c>
      <c r="D128" s="769">
        <v>214.32</v>
      </c>
      <c r="E128" s="808">
        <v>0</v>
      </c>
      <c r="G128" s="495"/>
      <c r="H128" s="495"/>
      <c r="I128" s="495"/>
      <c r="J128" s="495"/>
      <c r="K128" s="495"/>
      <c r="L128" s="495"/>
      <c r="M128" s="495"/>
    </row>
    <row r="129" spans="1:13" x14ac:dyDescent="0.2">
      <c r="A129" s="785">
        <v>2302</v>
      </c>
      <c r="B129" s="768" t="s">
        <v>860</v>
      </c>
      <c r="C129" s="769">
        <v>0</v>
      </c>
      <c r="D129" s="769">
        <v>276.07</v>
      </c>
      <c r="E129" s="808">
        <v>0</v>
      </c>
      <c r="G129" s="495"/>
      <c r="H129" s="495"/>
      <c r="I129" s="495"/>
      <c r="J129" s="495"/>
      <c r="K129" s="495"/>
      <c r="L129" s="495"/>
      <c r="M129" s="495"/>
    </row>
    <row r="130" spans="1:13" x14ac:dyDescent="0.2">
      <c r="A130" s="785">
        <v>2304</v>
      </c>
      <c r="B130" s="768" t="s">
        <v>861</v>
      </c>
      <c r="C130" s="769">
        <f>167+300</f>
        <v>467</v>
      </c>
      <c r="D130" s="769">
        <f>5921.92+428.54</f>
        <v>6350.46</v>
      </c>
      <c r="E130" s="808">
        <v>2834.68595</v>
      </c>
      <c r="G130" s="495"/>
      <c r="H130" s="495"/>
      <c r="I130" s="495"/>
      <c r="J130" s="495"/>
      <c r="K130" s="495"/>
      <c r="L130" s="495"/>
      <c r="M130" s="495"/>
    </row>
    <row r="131" spans="1:13" x14ac:dyDescent="0.2">
      <c r="A131" s="785">
        <v>2304</v>
      </c>
      <c r="B131" s="768" t="s">
        <v>862</v>
      </c>
      <c r="C131" s="769">
        <v>0</v>
      </c>
      <c r="D131" s="769">
        <v>6776.04</v>
      </c>
      <c r="E131" s="808">
        <v>6776.04097</v>
      </c>
      <c r="G131" s="495"/>
      <c r="H131" s="495"/>
      <c r="I131" s="495"/>
      <c r="J131" s="495"/>
      <c r="K131" s="495"/>
      <c r="L131" s="495"/>
      <c r="M131" s="495"/>
    </row>
    <row r="132" spans="1:13" x14ac:dyDescent="0.2">
      <c r="A132" s="785">
        <v>2304</v>
      </c>
      <c r="B132" s="768" t="s">
        <v>863</v>
      </c>
      <c r="C132" s="769">
        <v>0</v>
      </c>
      <c r="D132" s="769">
        <v>1.58</v>
      </c>
      <c r="E132" s="808">
        <v>1.5790200000000001</v>
      </c>
      <c r="G132" s="495"/>
      <c r="H132" s="495"/>
      <c r="I132" s="495"/>
      <c r="J132" s="495"/>
      <c r="K132" s="495"/>
      <c r="L132" s="495"/>
      <c r="M132" s="495"/>
    </row>
    <row r="133" spans="1:13" x14ac:dyDescent="0.2">
      <c r="A133" s="785">
        <v>2304</v>
      </c>
      <c r="B133" s="768" t="s">
        <v>864</v>
      </c>
      <c r="C133" s="769">
        <v>0</v>
      </c>
      <c r="D133" s="769">
        <v>52.82</v>
      </c>
      <c r="E133" s="808">
        <v>52.815109999999997</v>
      </c>
      <c r="G133" s="495"/>
      <c r="H133" s="495"/>
      <c r="I133" s="495"/>
      <c r="J133" s="495"/>
      <c r="K133" s="495"/>
      <c r="L133" s="495"/>
      <c r="M133" s="495"/>
    </row>
    <row r="134" spans="1:13" x14ac:dyDescent="0.2">
      <c r="A134" s="785">
        <v>2304</v>
      </c>
      <c r="B134" s="768" t="s">
        <v>865</v>
      </c>
      <c r="C134" s="769">
        <v>0</v>
      </c>
      <c r="D134" s="769">
        <v>25.73</v>
      </c>
      <c r="E134" s="808">
        <v>25.729650000000003</v>
      </c>
      <c r="G134" s="495"/>
      <c r="H134" s="495"/>
      <c r="I134" s="495"/>
      <c r="J134" s="495"/>
      <c r="K134" s="495"/>
      <c r="L134" s="495"/>
      <c r="M134" s="495"/>
    </row>
    <row r="135" spans="1:13" x14ac:dyDescent="0.2">
      <c r="A135" s="785">
        <v>2304</v>
      </c>
      <c r="B135" s="768" t="s">
        <v>866</v>
      </c>
      <c r="C135" s="769">
        <v>0</v>
      </c>
      <c r="D135" s="769">
        <v>399.46</v>
      </c>
      <c r="E135" s="808">
        <v>399.45612</v>
      </c>
      <c r="G135" s="495"/>
      <c r="H135" s="495"/>
      <c r="I135" s="495"/>
      <c r="J135" s="495"/>
      <c r="K135" s="495"/>
      <c r="L135" s="495"/>
      <c r="M135" s="495"/>
    </row>
    <row r="136" spans="1:13" x14ac:dyDescent="0.2">
      <c r="A136" s="785">
        <v>2304</v>
      </c>
      <c r="B136" s="768" t="s">
        <v>867</v>
      </c>
      <c r="C136" s="769">
        <v>4000</v>
      </c>
      <c r="D136" s="769">
        <v>37200.89</v>
      </c>
      <c r="E136" s="808">
        <v>24819.81855</v>
      </c>
      <c r="G136" s="495"/>
      <c r="H136" s="495"/>
      <c r="I136" s="495"/>
      <c r="J136" s="495"/>
      <c r="K136" s="495"/>
      <c r="L136" s="495"/>
      <c r="M136" s="495"/>
    </row>
    <row r="137" spans="1:13" x14ac:dyDescent="0.2">
      <c r="A137" s="785">
        <v>2304</v>
      </c>
      <c r="B137" s="768" t="s">
        <v>868</v>
      </c>
      <c r="C137" s="769">
        <v>0</v>
      </c>
      <c r="D137" s="769">
        <v>1692.21</v>
      </c>
      <c r="E137" s="808">
        <v>1692.20712</v>
      </c>
      <c r="G137" s="495"/>
      <c r="H137" s="495"/>
      <c r="I137" s="495"/>
      <c r="J137" s="495"/>
      <c r="K137" s="495"/>
      <c r="L137" s="495"/>
      <c r="M137" s="495"/>
    </row>
    <row r="138" spans="1:13" x14ac:dyDescent="0.2">
      <c r="A138" s="785">
        <v>2304</v>
      </c>
      <c r="B138" s="768" t="s">
        <v>869</v>
      </c>
      <c r="C138" s="769">
        <v>0</v>
      </c>
      <c r="D138" s="769">
        <v>1573.03</v>
      </c>
      <c r="E138" s="808">
        <v>1573.02514</v>
      </c>
      <c r="G138" s="495"/>
      <c r="H138" s="495"/>
      <c r="I138" s="495"/>
      <c r="J138" s="495"/>
      <c r="K138" s="495"/>
      <c r="L138" s="495"/>
      <c r="M138" s="495"/>
    </row>
    <row r="139" spans="1:13" x14ac:dyDescent="0.2">
      <c r="A139" s="785">
        <v>2304</v>
      </c>
      <c r="B139" s="768" t="s">
        <v>870</v>
      </c>
      <c r="C139" s="769">
        <v>0</v>
      </c>
      <c r="D139" s="769">
        <v>2412.12</v>
      </c>
      <c r="E139" s="808">
        <v>2412.1239999999998</v>
      </c>
      <c r="G139" s="495"/>
      <c r="H139" s="495"/>
      <c r="I139" s="495"/>
      <c r="J139" s="495"/>
      <c r="K139" s="495"/>
      <c r="L139" s="495"/>
      <c r="M139" s="495"/>
    </row>
    <row r="140" spans="1:13" x14ac:dyDescent="0.2">
      <c r="A140" s="785">
        <v>2304</v>
      </c>
      <c r="B140" s="768" t="s">
        <v>871</v>
      </c>
      <c r="C140" s="769">
        <v>0</v>
      </c>
      <c r="D140" s="769">
        <v>75</v>
      </c>
      <c r="E140" s="808">
        <v>75</v>
      </c>
      <c r="G140" s="495"/>
      <c r="H140" s="495"/>
      <c r="I140" s="495"/>
      <c r="J140" s="495"/>
      <c r="K140" s="495"/>
      <c r="L140" s="495"/>
      <c r="M140" s="495"/>
    </row>
    <row r="141" spans="1:13" x14ac:dyDescent="0.2">
      <c r="A141" s="785">
        <v>2304</v>
      </c>
      <c r="B141" s="768" t="s">
        <v>872</v>
      </c>
      <c r="C141" s="769">
        <v>0</v>
      </c>
      <c r="D141" s="769">
        <v>1811</v>
      </c>
      <c r="E141" s="808">
        <v>1811</v>
      </c>
      <c r="G141" s="495"/>
      <c r="H141" s="495"/>
      <c r="I141" s="495"/>
      <c r="J141" s="495"/>
      <c r="K141" s="495"/>
      <c r="L141" s="495"/>
      <c r="M141" s="495"/>
    </row>
    <row r="142" spans="1:13" x14ac:dyDescent="0.2">
      <c r="A142" s="785">
        <v>2304</v>
      </c>
      <c r="B142" s="768" t="s">
        <v>873</v>
      </c>
      <c r="C142" s="769">
        <v>0</v>
      </c>
      <c r="D142" s="769">
        <v>150</v>
      </c>
      <c r="E142" s="808">
        <v>150</v>
      </c>
      <c r="G142" s="495"/>
      <c r="H142" s="495"/>
      <c r="I142" s="495"/>
      <c r="J142" s="495"/>
      <c r="K142" s="495"/>
      <c r="L142" s="495"/>
      <c r="M142" s="495"/>
    </row>
    <row r="143" spans="1:13" x14ac:dyDescent="0.2">
      <c r="A143" s="785">
        <v>2304</v>
      </c>
      <c r="B143" s="768" t="s">
        <v>874</v>
      </c>
      <c r="C143" s="769">
        <v>0</v>
      </c>
      <c r="D143" s="769">
        <v>1321.09</v>
      </c>
      <c r="E143" s="808">
        <v>1321.0923</v>
      </c>
      <c r="G143" s="495"/>
      <c r="H143" s="495"/>
      <c r="I143" s="495"/>
      <c r="J143" s="495"/>
      <c r="K143" s="495"/>
      <c r="L143" s="495"/>
      <c r="M143" s="495"/>
    </row>
    <row r="144" spans="1:13" x14ac:dyDescent="0.2">
      <c r="A144" s="785">
        <v>2304</v>
      </c>
      <c r="B144" s="768" t="s">
        <v>875</v>
      </c>
      <c r="C144" s="769">
        <v>0</v>
      </c>
      <c r="D144" s="769">
        <v>420</v>
      </c>
      <c r="E144" s="808">
        <v>420</v>
      </c>
      <c r="G144" s="495"/>
      <c r="H144" s="495"/>
      <c r="I144" s="495"/>
      <c r="J144" s="495"/>
      <c r="K144" s="495"/>
      <c r="L144" s="495"/>
      <c r="M144" s="495"/>
    </row>
    <row r="145" spans="1:13" x14ac:dyDescent="0.2">
      <c r="A145" s="785">
        <v>2304</v>
      </c>
      <c r="B145" s="768" t="s">
        <v>876</v>
      </c>
      <c r="C145" s="769">
        <v>0</v>
      </c>
      <c r="D145" s="769">
        <v>280</v>
      </c>
      <c r="E145" s="808">
        <v>280</v>
      </c>
      <c r="G145" s="495"/>
      <c r="H145" s="495"/>
      <c r="I145" s="495"/>
      <c r="J145" s="495"/>
      <c r="K145" s="495"/>
      <c r="L145" s="495"/>
      <c r="M145" s="495"/>
    </row>
    <row r="146" spans="1:13" x14ac:dyDescent="0.2">
      <c r="A146" s="785">
        <v>2304</v>
      </c>
      <c r="B146" s="768" t="s">
        <v>877</v>
      </c>
      <c r="C146" s="769">
        <v>0</v>
      </c>
      <c r="D146" s="769">
        <v>140</v>
      </c>
      <c r="E146" s="808">
        <v>140</v>
      </c>
      <c r="G146" s="495"/>
      <c r="H146" s="495"/>
      <c r="I146" s="495"/>
      <c r="J146" s="495"/>
      <c r="K146" s="495"/>
      <c r="L146" s="495"/>
      <c r="M146" s="495"/>
    </row>
    <row r="147" spans="1:13" x14ac:dyDescent="0.2">
      <c r="A147" s="785">
        <v>2304</v>
      </c>
      <c r="B147" s="768" t="s">
        <v>878</v>
      </c>
      <c r="C147" s="769">
        <v>0</v>
      </c>
      <c r="D147" s="769">
        <v>1948.73</v>
      </c>
      <c r="E147" s="808">
        <v>1948.73</v>
      </c>
      <c r="G147" s="495"/>
      <c r="H147" s="495"/>
      <c r="I147" s="495"/>
      <c r="J147" s="495"/>
      <c r="K147" s="495"/>
      <c r="L147" s="495"/>
      <c r="M147" s="495"/>
    </row>
    <row r="148" spans="1:13" x14ac:dyDescent="0.2">
      <c r="A148" s="785">
        <v>2304</v>
      </c>
      <c r="B148" s="768" t="s">
        <v>879</v>
      </c>
      <c r="C148" s="769">
        <v>0</v>
      </c>
      <c r="D148" s="769">
        <v>4561.16</v>
      </c>
      <c r="E148" s="808">
        <v>4561.1572000000006</v>
      </c>
      <c r="G148" s="495"/>
      <c r="H148" s="495"/>
      <c r="I148" s="495"/>
      <c r="J148" s="495"/>
      <c r="K148" s="495"/>
      <c r="L148" s="495"/>
      <c r="M148" s="495"/>
    </row>
    <row r="149" spans="1:13" x14ac:dyDescent="0.2">
      <c r="A149" s="785">
        <v>2304</v>
      </c>
      <c r="B149" s="768" t="s">
        <v>880</v>
      </c>
      <c r="C149" s="769">
        <v>0</v>
      </c>
      <c r="D149" s="769">
        <v>2263.7399999999998</v>
      </c>
      <c r="E149" s="808">
        <v>2263.7350000000001</v>
      </c>
      <c r="G149" s="495"/>
      <c r="H149" s="495"/>
      <c r="I149" s="495"/>
      <c r="J149" s="495"/>
      <c r="K149" s="495"/>
      <c r="L149" s="495"/>
      <c r="M149" s="495"/>
    </row>
    <row r="150" spans="1:13" x14ac:dyDescent="0.2">
      <c r="A150" s="785">
        <v>2304</v>
      </c>
      <c r="B150" s="768" t="s">
        <v>881</v>
      </c>
      <c r="C150" s="769">
        <v>0</v>
      </c>
      <c r="D150" s="769">
        <v>2001.1</v>
      </c>
      <c r="E150" s="808">
        <v>2001.1</v>
      </c>
      <c r="G150" s="495"/>
      <c r="H150" s="495"/>
      <c r="I150" s="495"/>
      <c r="J150" s="495"/>
      <c r="K150" s="495"/>
      <c r="L150" s="495"/>
      <c r="M150" s="495"/>
    </row>
    <row r="151" spans="1:13" x14ac:dyDescent="0.2">
      <c r="A151" s="785">
        <v>2304</v>
      </c>
      <c r="B151" s="768" t="s">
        <v>882</v>
      </c>
      <c r="C151" s="769">
        <v>0</v>
      </c>
      <c r="D151" s="769">
        <v>1070</v>
      </c>
      <c r="E151" s="808">
        <v>1070</v>
      </c>
      <c r="G151" s="495"/>
      <c r="H151" s="495"/>
      <c r="I151" s="495"/>
      <c r="J151" s="495"/>
      <c r="K151" s="495"/>
      <c r="L151" s="495"/>
      <c r="M151" s="495"/>
    </row>
    <row r="152" spans="1:13" x14ac:dyDescent="0.2">
      <c r="A152" s="785">
        <v>2304</v>
      </c>
      <c r="B152" s="768" t="s">
        <v>883</v>
      </c>
      <c r="C152" s="769">
        <v>0</v>
      </c>
      <c r="D152" s="769">
        <v>650</v>
      </c>
      <c r="E152" s="808">
        <v>650</v>
      </c>
      <c r="G152" s="495"/>
      <c r="H152" s="495"/>
      <c r="I152" s="495"/>
      <c r="J152" s="495"/>
      <c r="K152" s="495"/>
      <c r="L152" s="495"/>
      <c r="M152" s="495"/>
    </row>
    <row r="153" spans="1:13" x14ac:dyDescent="0.2">
      <c r="A153" s="785">
        <v>2304</v>
      </c>
      <c r="B153" s="768" t="s">
        <v>884</v>
      </c>
      <c r="C153" s="769">
        <v>0</v>
      </c>
      <c r="D153" s="769">
        <v>1441.93</v>
      </c>
      <c r="E153" s="808">
        <v>1441.9269999999999</v>
      </c>
      <c r="G153" s="495"/>
      <c r="H153" s="495"/>
      <c r="I153" s="495"/>
      <c r="J153" s="495"/>
      <c r="K153" s="495"/>
      <c r="L153" s="495"/>
      <c r="M153" s="495"/>
    </row>
    <row r="154" spans="1:13" x14ac:dyDescent="0.2">
      <c r="A154" s="785">
        <v>2304</v>
      </c>
      <c r="B154" s="768" t="s">
        <v>885</v>
      </c>
      <c r="C154" s="769">
        <v>0</v>
      </c>
      <c r="D154" s="769">
        <v>1438.43</v>
      </c>
      <c r="E154" s="808">
        <v>1438.4278899999999</v>
      </c>
      <c r="G154" s="495"/>
      <c r="H154" s="495"/>
      <c r="I154" s="495"/>
      <c r="J154" s="495"/>
      <c r="K154" s="495"/>
      <c r="L154" s="495"/>
      <c r="M154" s="495"/>
    </row>
    <row r="155" spans="1:13" x14ac:dyDescent="0.2">
      <c r="A155" s="785">
        <v>2304</v>
      </c>
      <c r="B155" s="768" t="s">
        <v>886</v>
      </c>
      <c r="C155" s="769">
        <v>0</v>
      </c>
      <c r="D155" s="769">
        <v>1260.8399999999999</v>
      </c>
      <c r="E155" s="808">
        <v>1260.835</v>
      </c>
      <c r="G155" s="495"/>
      <c r="H155" s="495"/>
      <c r="I155" s="495"/>
      <c r="J155" s="495"/>
      <c r="K155" s="495"/>
      <c r="L155" s="495"/>
      <c r="M155" s="495"/>
    </row>
    <row r="156" spans="1:13" x14ac:dyDescent="0.2">
      <c r="A156" s="785">
        <v>2304</v>
      </c>
      <c r="B156" s="768" t="s">
        <v>887</v>
      </c>
      <c r="C156" s="769">
        <v>0</v>
      </c>
      <c r="D156" s="769">
        <v>240</v>
      </c>
      <c r="E156" s="808">
        <v>240</v>
      </c>
      <c r="G156" s="495"/>
      <c r="H156" s="495"/>
      <c r="I156" s="495"/>
      <c r="J156" s="495"/>
      <c r="K156" s="495"/>
      <c r="L156" s="495"/>
      <c r="M156" s="495"/>
    </row>
    <row r="157" spans="1:13" x14ac:dyDescent="0.2">
      <c r="A157" s="785">
        <v>2304</v>
      </c>
      <c r="B157" s="768" t="s">
        <v>888</v>
      </c>
      <c r="C157" s="769">
        <v>0</v>
      </c>
      <c r="D157" s="769">
        <v>1245.52</v>
      </c>
      <c r="E157" s="808">
        <v>1245.52225</v>
      </c>
      <c r="G157" s="495"/>
      <c r="H157" s="495"/>
      <c r="I157" s="495"/>
      <c r="J157" s="495"/>
      <c r="K157" s="495"/>
      <c r="L157" s="495"/>
      <c r="M157" s="495"/>
    </row>
    <row r="158" spans="1:13" x14ac:dyDescent="0.2">
      <c r="A158" s="785">
        <v>2304</v>
      </c>
      <c r="B158" s="768" t="s">
        <v>889</v>
      </c>
      <c r="C158" s="769">
        <v>0</v>
      </c>
      <c r="D158" s="769">
        <v>2035.9</v>
      </c>
      <c r="E158" s="808">
        <v>2035.9</v>
      </c>
      <c r="G158" s="495"/>
      <c r="H158" s="495"/>
      <c r="I158" s="495"/>
      <c r="J158" s="495"/>
      <c r="K158" s="495"/>
      <c r="L158" s="495"/>
      <c r="M158" s="495"/>
    </row>
    <row r="159" spans="1:13" x14ac:dyDescent="0.2">
      <c r="A159" s="785">
        <v>2304</v>
      </c>
      <c r="B159" s="768" t="s">
        <v>890</v>
      </c>
      <c r="C159" s="769">
        <v>0</v>
      </c>
      <c r="D159" s="769">
        <v>2865.84</v>
      </c>
      <c r="E159" s="808">
        <v>2865.8380000000002</v>
      </c>
      <c r="G159" s="495"/>
      <c r="H159" s="495"/>
      <c r="I159" s="495"/>
      <c r="J159" s="495"/>
      <c r="K159" s="495"/>
      <c r="L159" s="495"/>
      <c r="M159" s="495"/>
    </row>
    <row r="160" spans="1:13" x14ac:dyDescent="0.2">
      <c r="A160" s="785">
        <v>2304</v>
      </c>
      <c r="B160" s="768" t="s">
        <v>891</v>
      </c>
      <c r="C160" s="769">
        <v>0</v>
      </c>
      <c r="D160" s="769">
        <v>1274.75</v>
      </c>
      <c r="E160" s="808">
        <v>1274.75</v>
      </c>
      <c r="G160" s="495"/>
      <c r="H160" s="495"/>
      <c r="I160" s="495"/>
      <c r="J160" s="495"/>
      <c r="K160" s="495"/>
      <c r="L160" s="495"/>
      <c r="M160" s="495"/>
    </row>
    <row r="161" spans="1:13" x14ac:dyDescent="0.2">
      <c r="A161" s="785">
        <v>2304</v>
      </c>
      <c r="B161" s="768" t="s">
        <v>892</v>
      </c>
      <c r="C161" s="769">
        <v>0</v>
      </c>
      <c r="D161" s="769">
        <v>2871.94</v>
      </c>
      <c r="E161" s="808">
        <v>2871.9349999999999</v>
      </c>
      <c r="G161" s="495"/>
      <c r="H161" s="495"/>
      <c r="I161" s="495"/>
      <c r="J161" s="495"/>
      <c r="K161" s="495"/>
      <c r="L161" s="495"/>
      <c r="M161" s="495"/>
    </row>
    <row r="162" spans="1:13" x14ac:dyDescent="0.2">
      <c r="A162" s="785">
        <v>2304</v>
      </c>
      <c r="B162" s="768" t="s">
        <v>893</v>
      </c>
      <c r="C162" s="769">
        <v>0</v>
      </c>
      <c r="D162" s="769">
        <v>1050</v>
      </c>
      <c r="E162" s="808">
        <v>1050</v>
      </c>
      <c r="G162" s="495"/>
      <c r="H162" s="495"/>
      <c r="I162" s="495"/>
      <c r="J162" s="495"/>
      <c r="K162" s="495"/>
      <c r="L162" s="495"/>
      <c r="M162" s="495"/>
    </row>
    <row r="163" spans="1:13" x14ac:dyDescent="0.2">
      <c r="A163" s="785">
        <v>2304</v>
      </c>
      <c r="B163" s="768" t="s">
        <v>894</v>
      </c>
      <c r="C163" s="769">
        <v>0</v>
      </c>
      <c r="D163" s="769">
        <v>2667.16</v>
      </c>
      <c r="E163" s="808">
        <v>2667.16282</v>
      </c>
      <c r="G163" s="495"/>
      <c r="H163" s="495"/>
      <c r="I163" s="495"/>
      <c r="J163" s="495"/>
      <c r="K163" s="495"/>
      <c r="L163" s="495"/>
      <c r="M163" s="495"/>
    </row>
    <row r="164" spans="1:13" x14ac:dyDescent="0.2">
      <c r="A164" s="785">
        <v>2304</v>
      </c>
      <c r="B164" s="768" t="s">
        <v>895</v>
      </c>
      <c r="C164" s="769">
        <v>0</v>
      </c>
      <c r="D164" s="769">
        <v>950</v>
      </c>
      <c r="E164" s="808">
        <v>950</v>
      </c>
      <c r="G164" s="495"/>
      <c r="H164" s="495"/>
      <c r="I164" s="495"/>
      <c r="J164" s="495"/>
      <c r="K164" s="495"/>
      <c r="L164" s="495"/>
      <c r="M164" s="495"/>
    </row>
    <row r="165" spans="1:13" x14ac:dyDescent="0.2">
      <c r="A165" s="785">
        <v>2304</v>
      </c>
      <c r="B165" s="768" t="s">
        <v>896</v>
      </c>
      <c r="C165" s="769">
        <v>0</v>
      </c>
      <c r="D165" s="769">
        <v>218</v>
      </c>
      <c r="E165" s="808">
        <v>218</v>
      </c>
      <c r="G165" s="495"/>
      <c r="H165" s="495"/>
      <c r="I165" s="495"/>
      <c r="J165" s="495"/>
      <c r="K165" s="495"/>
      <c r="L165" s="495"/>
      <c r="M165" s="495"/>
    </row>
    <row r="166" spans="1:13" x14ac:dyDescent="0.2">
      <c r="A166" s="785">
        <v>2304</v>
      </c>
      <c r="B166" s="768" t="s">
        <v>897</v>
      </c>
      <c r="C166" s="769">
        <v>0</v>
      </c>
      <c r="D166" s="769">
        <v>1457.23</v>
      </c>
      <c r="E166" s="808">
        <v>1457.2337600000001</v>
      </c>
      <c r="G166" s="495"/>
      <c r="H166" s="495"/>
      <c r="I166" s="495"/>
      <c r="J166" s="495"/>
      <c r="K166" s="495"/>
      <c r="L166" s="495"/>
      <c r="M166" s="495"/>
    </row>
    <row r="167" spans="1:13" x14ac:dyDescent="0.2">
      <c r="A167" s="785">
        <v>2304</v>
      </c>
      <c r="B167" s="768" t="s">
        <v>898</v>
      </c>
      <c r="C167" s="769">
        <v>0</v>
      </c>
      <c r="D167" s="769">
        <v>860</v>
      </c>
      <c r="E167" s="808">
        <v>860</v>
      </c>
      <c r="G167" s="495"/>
      <c r="H167" s="495"/>
      <c r="I167" s="495"/>
      <c r="J167" s="495"/>
      <c r="K167" s="495"/>
      <c r="L167" s="495"/>
      <c r="M167" s="495"/>
    </row>
    <row r="168" spans="1:13" x14ac:dyDescent="0.2">
      <c r="A168" s="785">
        <v>2304</v>
      </c>
      <c r="B168" s="768" t="s">
        <v>899</v>
      </c>
      <c r="C168" s="769">
        <v>0</v>
      </c>
      <c r="D168" s="769">
        <v>1870</v>
      </c>
      <c r="E168" s="808">
        <v>1870</v>
      </c>
      <c r="G168" s="495"/>
      <c r="H168" s="495"/>
      <c r="I168" s="495"/>
      <c r="J168" s="495"/>
      <c r="K168" s="495"/>
      <c r="L168" s="495"/>
      <c r="M168" s="495"/>
    </row>
    <row r="169" spans="1:13" x14ac:dyDescent="0.2">
      <c r="A169" s="785">
        <v>2304</v>
      </c>
      <c r="B169" s="768" t="s">
        <v>900</v>
      </c>
      <c r="C169" s="769">
        <v>0</v>
      </c>
      <c r="D169" s="769">
        <v>1100</v>
      </c>
      <c r="E169" s="808">
        <v>1100</v>
      </c>
      <c r="G169" s="495"/>
      <c r="H169" s="495"/>
      <c r="I169" s="495"/>
      <c r="J169" s="495"/>
      <c r="K169" s="495"/>
      <c r="L169" s="495"/>
      <c r="M169" s="495"/>
    </row>
    <row r="170" spans="1:13" x14ac:dyDescent="0.2">
      <c r="A170" s="785">
        <v>2304</v>
      </c>
      <c r="B170" s="768" t="s">
        <v>901</v>
      </c>
      <c r="C170" s="769">
        <v>0</v>
      </c>
      <c r="D170" s="769">
        <v>900</v>
      </c>
      <c r="E170" s="808">
        <v>900</v>
      </c>
      <c r="G170" s="495"/>
      <c r="H170" s="495"/>
      <c r="I170" s="495"/>
      <c r="J170" s="495"/>
      <c r="K170" s="495"/>
      <c r="L170" s="495"/>
      <c r="M170" s="495"/>
    </row>
    <row r="171" spans="1:13" x14ac:dyDescent="0.2">
      <c r="A171" s="785">
        <v>2304</v>
      </c>
      <c r="B171" s="768" t="s">
        <v>902</v>
      </c>
      <c r="C171" s="769">
        <v>0</v>
      </c>
      <c r="D171" s="769">
        <v>700</v>
      </c>
      <c r="E171" s="808">
        <v>700</v>
      </c>
      <c r="G171" s="495"/>
      <c r="H171" s="495"/>
      <c r="I171" s="495"/>
      <c r="J171" s="495"/>
      <c r="K171" s="495"/>
      <c r="L171" s="495"/>
      <c r="M171" s="495"/>
    </row>
    <row r="172" spans="1:13" x14ac:dyDescent="0.2">
      <c r="A172" s="785">
        <v>2304</v>
      </c>
      <c r="B172" s="768" t="s">
        <v>903</v>
      </c>
      <c r="C172" s="769">
        <v>0</v>
      </c>
      <c r="D172" s="769">
        <v>228</v>
      </c>
      <c r="E172" s="808">
        <v>228</v>
      </c>
      <c r="G172" s="495"/>
      <c r="H172" s="495"/>
      <c r="I172" s="495"/>
      <c r="J172" s="495"/>
      <c r="K172" s="495"/>
      <c r="L172" s="495"/>
      <c r="M172" s="495"/>
    </row>
    <row r="173" spans="1:13" x14ac:dyDescent="0.2">
      <c r="A173" s="785">
        <v>2304</v>
      </c>
      <c r="B173" s="768" t="s">
        <v>904</v>
      </c>
      <c r="C173" s="769">
        <v>0</v>
      </c>
      <c r="D173" s="769">
        <v>114</v>
      </c>
      <c r="E173" s="808">
        <v>114</v>
      </c>
      <c r="G173" s="495"/>
      <c r="H173" s="495"/>
      <c r="I173" s="495"/>
      <c r="J173" s="495"/>
      <c r="K173" s="495"/>
      <c r="L173" s="495"/>
      <c r="M173" s="495"/>
    </row>
    <row r="174" spans="1:13" x14ac:dyDescent="0.2">
      <c r="A174" s="785">
        <v>2304</v>
      </c>
      <c r="B174" s="768" t="s">
        <v>905</v>
      </c>
      <c r="C174" s="769">
        <v>0</v>
      </c>
      <c r="D174" s="769">
        <v>218.5</v>
      </c>
      <c r="E174" s="808">
        <v>218.5</v>
      </c>
      <c r="G174" s="495"/>
      <c r="H174" s="495"/>
      <c r="I174" s="495"/>
      <c r="J174" s="495"/>
      <c r="K174" s="495"/>
      <c r="L174" s="495"/>
      <c r="M174" s="495"/>
    </row>
    <row r="175" spans="1:13" s="341" customFormat="1" x14ac:dyDescent="0.2">
      <c r="A175" s="78"/>
      <c r="B175" s="593"/>
      <c r="C175" s="79"/>
      <c r="D175" s="79"/>
      <c r="E175" s="83" t="s">
        <v>796</v>
      </c>
      <c r="F175" s="798"/>
      <c r="G175" s="503"/>
      <c r="H175" s="503"/>
      <c r="I175" s="503"/>
      <c r="J175" s="503"/>
      <c r="K175" s="503"/>
      <c r="L175" s="503"/>
      <c r="M175" s="503"/>
    </row>
    <row r="176" spans="1:13" s="341" customFormat="1" ht="30.75" customHeight="1" x14ac:dyDescent="0.2">
      <c r="A176" s="1913" t="s">
        <v>735</v>
      </c>
      <c r="B176" s="1913"/>
      <c r="C176" s="1914"/>
      <c r="D176" s="1914"/>
      <c r="E176" s="1914"/>
      <c r="F176" s="798"/>
      <c r="G176" s="503"/>
      <c r="H176" s="503"/>
      <c r="I176" s="503"/>
      <c r="J176" s="503"/>
      <c r="K176" s="503"/>
      <c r="L176" s="503"/>
      <c r="M176" s="503"/>
    </row>
    <row r="177" spans="1:13" s="341" customFormat="1" ht="15" x14ac:dyDescent="0.2">
      <c r="A177" s="713"/>
      <c r="B177" s="714"/>
      <c r="C177" s="595"/>
      <c r="D177" s="595"/>
      <c r="E177" s="595"/>
      <c r="F177" s="798"/>
      <c r="G177" s="503"/>
      <c r="H177" s="503"/>
      <c r="I177" s="503"/>
      <c r="J177" s="503"/>
      <c r="K177" s="503"/>
      <c r="L177" s="503"/>
      <c r="M177" s="503"/>
    </row>
    <row r="178" spans="1:13" s="341" customFormat="1" ht="15.75" x14ac:dyDescent="0.2">
      <c r="A178" s="1915" t="s">
        <v>84</v>
      </c>
      <c r="B178" s="1915"/>
      <c r="C178" s="1916"/>
      <c r="D178" s="1916"/>
      <c r="E178" s="1916"/>
      <c r="F178" s="798"/>
      <c r="G178" s="503"/>
      <c r="H178" s="503"/>
      <c r="I178" s="503"/>
      <c r="J178" s="503"/>
      <c r="K178" s="503"/>
      <c r="L178" s="503"/>
      <c r="M178" s="503"/>
    </row>
    <row r="179" spans="1:13" s="341" customFormat="1" ht="15" x14ac:dyDescent="0.2">
      <c r="A179" s="713"/>
      <c r="B179" s="715"/>
      <c r="C179" s="595"/>
      <c r="D179" s="595"/>
      <c r="E179" s="608" t="s">
        <v>83</v>
      </c>
      <c r="F179" s="798"/>
      <c r="G179" s="503"/>
      <c r="H179" s="503"/>
      <c r="I179" s="503"/>
      <c r="J179" s="503"/>
      <c r="K179" s="503"/>
      <c r="L179" s="503"/>
      <c r="M179" s="503"/>
    </row>
    <row r="180" spans="1:13" s="341" customFormat="1" ht="24" x14ac:dyDescent="0.2">
      <c r="A180" s="597" t="s">
        <v>27</v>
      </c>
      <c r="B180" s="598" t="s">
        <v>0</v>
      </c>
      <c r="C180" s="807" t="s">
        <v>986</v>
      </c>
      <c r="D180" s="807" t="s">
        <v>987</v>
      </c>
      <c r="E180" s="807" t="s">
        <v>988</v>
      </c>
      <c r="F180" s="798"/>
      <c r="G180" s="503"/>
      <c r="H180" s="503"/>
      <c r="I180" s="503"/>
      <c r="J180" s="503"/>
      <c r="K180" s="503"/>
      <c r="L180" s="503"/>
      <c r="M180" s="503"/>
    </row>
    <row r="181" spans="1:13" s="341" customFormat="1" x14ac:dyDescent="0.2">
      <c r="A181" s="1917" t="s">
        <v>442</v>
      </c>
      <c r="B181" s="1919"/>
      <c r="C181" s="824"/>
      <c r="D181" s="825" t="s">
        <v>1034</v>
      </c>
      <c r="E181" s="826"/>
      <c r="F181" s="798"/>
      <c r="G181" s="503"/>
      <c r="H181" s="503"/>
      <c r="I181" s="503"/>
      <c r="J181" s="503"/>
      <c r="K181" s="503"/>
      <c r="L181" s="503"/>
      <c r="M181" s="503"/>
    </row>
    <row r="182" spans="1:13" s="341" customFormat="1" x14ac:dyDescent="0.2">
      <c r="A182" s="716" t="s">
        <v>75</v>
      </c>
      <c r="B182" s="827" t="s">
        <v>47</v>
      </c>
      <c r="C182" s="824"/>
      <c r="D182" s="825" t="s">
        <v>1034</v>
      </c>
      <c r="E182" s="826"/>
      <c r="F182" s="798"/>
      <c r="G182" s="503"/>
      <c r="H182" s="503"/>
      <c r="I182" s="503"/>
      <c r="J182" s="503"/>
      <c r="K182" s="503"/>
      <c r="L182" s="503"/>
      <c r="M182" s="503"/>
    </row>
    <row r="183" spans="1:13" x14ac:dyDescent="0.2">
      <c r="A183" s="810">
        <v>2304</v>
      </c>
      <c r="B183" s="811" t="s">
        <v>906</v>
      </c>
      <c r="C183" s="812">
        <v>0</v>
      </c>
      <c r="D183" s="812">
        <v>548.02</v>
      </c>
      <c r="E183" s="813">
        <v>548.02269999999999</v>
      </c>
      <c r="G183" s="495"/>
      <c r="H183" s="495"/>
      <c r="I183" s="495"/>
      <c r="J183" s="495"/>
      <c r="K183" s="495"/>
      <c r="L183" s="495"/>
      <c r="M183" s="495"/>
    </row>
    <row r="184" spans="1:13" x14ac:dyDescent="0.2">
      <c r="A184" s="785">
        <v>2304</v>
      </c>
      <c r="B184" s="768" t="s">
        <v>907</v>
      </c>
      <c r="C184" s="769">
        <v>0</v>
      </c>
      <c r="D184" s="769">
        <v>180.5</v>
      </c>
      <c r="E184" s="808">
        <v>180.5</v>
      </c>
      <c r="G184" s="495"/>
      <c r="H184" s="495"/>
      <c r="I184" s="495"/>
      <c r="J184" s="495"/>
      <c r="K184" s="495"/>
      <c r="L184" s="495"/>
      <c r="M184" s="495"/>
    </row>
    <row r="185" spans="1:13" x14ac:dyDescent="0.2">
      <c r="A185" s="785">
        <v>2304</v>
      </c>
      <c r="B185" s="768" t="s">
        <v>908</v>
      </c>
      <c r="C185" s="769">
        <v>0</v>
      </c>
      <c r="D185" s="769">
        <v>66.5</v>
      </c>
      <c r="E185" s="808">
        <v>66.5</v>
      </c>
      <c r="G185" s="495"/>
      <c r="H185" s="495"/>
      <c r="I185" s="495"/>
      <c r="J185" s="495"/>
      <c r="K185" s="495"/>
      <c r="L185" s="495"/>
      <c r="M185" s="495"/>
    </row>
    <row r="186" spans="1:13" x14ac:dyDescent="0.2">
      <c r="A186" s="785">
        <v>2304</v>
      </c>
      <c r="B186" s="768" t="s">
        <v>909</v>
      </c>
      <c r="C186" s="769">
        <v>0</v>
      </c>
      <c r="D186" s="769">
        <v>123.5</v>
      </c>
      <c r="E186" s="808">
        <v>123.5</v>
      </c>
      <c r="G186" s="495"/>
      <c r="H186" s="495"/>
      <c r="I186" s="495"/>
      <c r="J186" s="495"/>
      <c r="K186" s="495"/>
      <c r="L186" s="495"/>
      <c r="M186" s="495"/>
    </row>
    <row r="187" spans="1:13" x14ac:dyDescent="0.2">
      <c r="A187" s="785">
        <v>2304</v>
      </c>
      <c r="B187" s="768" t="s">
        <v>910</v>
      </c>
      <c r="C187" s="769">
        <v>0</v>
      </c>
      <c r="D187" s="769">
        <v>57</v>
      </c>
      <c r="E187" s="808">
        <v>57</v>
      </c>
      <c r="G187" s="495"/>
      <c r="H187" s="495"/>
      <c r="I187" s="495"/>
      <c r="J187" s="495"/>
      <c r="K187" s="495"/>
      <c r="L187" s="495"/>
      <c r="M187" s="495"/>
    </row>
    <row r="188" spans="1:13" x14ac:dyDescent="0.2">
      <c r="A188" s="785">
        <v>2304</v>
      </c>
      <c r="B188" s="768" t="s">
        <v>911</v>
      </c>
      <c r="C188" s="769">
        <v>0</v>
      </c>
      <c r="D188" s="769">
        <v>2000</v>
      </c>
      <c r="E188" s="808">
        <v>2000</v>
      </c>
      <c r="G188" s="495"/>
      <c r="H188" s="495"/>
      <c r="I188" s="495"/>
      <c r="J188" s="495"/>
      <c r="K188" s="495"/>
      <c r="L188" s="495"/>
      <c r="M188" s="495"/>
    </row>
    <row r="189" spans="1:13" x14ac:dyDescent="0.2">
      <c r="A189" s="785">
        <v>2304</v>
      </c>
      <c r="B189" s="768" t="s">
        <v>912</v>
      </c>
      <c r="C189" s="769">
        <v>0</v>
      </c>
      <c r="D189" s="769">
        <v>2565</v>
      </c>
      <c r="E189" s="808">
        <v>0</v>
      </c>
      <c r="G189" s="495"/>
      <c r="H189" s="495"/>
      <c r="I189" s="495"/>
      <c r="J189" s="495"/>
      <c r="K189" s="495"/>
      <c r="L189" s="495"/>
      <c r="M189" s="495"/>
    </row>
    <row r="190" spans="1:13" ht="7.5" customHeight="1" x14ac:dyDescent="0.2">
      <c r="A190" s="828"/>
      <c r="B190" s="772"/>
      <c r="C190" s="829"/>
      <c r="D190" s="829"/>
      <c r="E190" s="829"/>
      <c r="G190" s="495"/>
      <c r="H190" s="495"/>
      <c r="I190" s="495"/>
      <c r="J190" s="495"/>
      <c r="K190" s="495"/>
      <c r="L190" s="495"/>
      <c r="M190" s="495"/>
    </row>
    <row r="191" spans="1:13" x14ac:dyDescent="0.2">
      <c r="A191" s="789" t="s">
        <v>736</v>
      </c>
      <c r="B191" s="695"/>
      <c r="C191" s="599">
        <f>SUM(C193:C207)</f>
        <v>1789.05</v>
      </c>
      <c r="D191" s="599">
        <f t="shared" ref="D191:E191" si="1">SUM(D193:D207)</f>
        <v>5316.2000000000007</v>
      </c>
      <c r="E191" s="599">
        <f t="shared" si="1"/>
        <v>4008.6716500000002</v>
      </c>
      <c r="G191" s="495"/>
      <c r="H191" s="495"/>
      <c r="I191" s="495"/>
      <c r="J191" s="495"/>
      <c r="K191" s="495"/>
      <c r="L191" s="495"/>
      <c r="M191" s="495"/>
    </row>
    <row r="192" spans="1:13" x14ac:dyDescent="0.2">
      <c r="A192" s="716" t="s">
        <v>75</v>
      </c>
      <c r="B192" s="600" t="s">
        <v>47</v>
      </c>
      <c r="C192" s="599"/>
      <c r="D192" s="599"/>
      <c r="E192" s="599"/>
      <c r="G192" s="495"/>
      <c r="H192" s="495"/>
      <c r="I192" s="495"/>
      <c r="J192" s="495"/>
      <c r="K192" s="495"/>
      <c r="L192" s="495"/>
      <c r="M192" s="495"/>
    </row>
    <row r="193" spans="1:13" x14ac:dyDescent="0.2">
      <c r="A193" s="783">
        <v>2309</v>
      </c>
      <c r="B193" s="767" t="s">
        <v>973</v>
      </c>
      <c r="C193" s="771">
        <v>0</v>
      </c>
      <c r="D193" s="771">
        <v>6.76</v>
      </c>
      <c r="E193" s="794">
        <v>6.7558500000000006</v>
      </c>
      <c r="G193" s="495"/>
      <c r="H193" s="495"/>
      <c r="I193" s="495"/>
      <c r="J193" s="495"/>
      <c r="K193" s="495"/>
      <c r="L193" s="495"/>
      <c r="M193" s="495"/>
    </row>
    <row r="194" spans="1:13" x14ac:dyDescent="0.2">
      <c r="A194" s="783">
        <v>2302</v>
      </c>
      <c r="B194" s="767" t="s">
        <v>654</v>
      </c>
      <c r="C194" s="771">
        <v>600</v>
      </c>
      <c r="D194" s="771">
        <v>600</v>
      </c>
      <c r="E194" s="794">
        <v>414.66950000000003</v>
      </c>
      <c r="G194" s="495"/>
      <c r="H194" s="495"/>
      <c r="I194" s="495"/>
      <c r="J194" s="495"/>
      <c r="K194" s="495"/>
      <c r="L194" s="495"/>
      <c r="M194" s="495"/>
    </row>
    <row r="195" spans="1:13" x14ac:dyDescent="0.2">
      <c r="A195" s="783">
        <v>2302</v>
      </c>
      <c r="B195" s="767" t="s">
        <v>655</v>
      </c>
      <c r="C195" s="771">
        <v>600</v>
      </c>
      <c r="D195" s="771">
        <v>600</v>
      </c>
      <c r="E195" s="794">
        <v>400.93549999999999</v>
      </c>
      <c r="G195" s="495"/>
      <c r="H195" s="495"/>
      <c r="I195" s="495"/>
      <c r="J195" s="495"/>
      <c r="K195" s="495"/>
      <c r="L195" s="495"/>
      <c r="M195" s="495"/>
    </row>
    <row r="196" spans="1:13" x14ac:dyDescent="0.2">
      <c r="A196" s="783">
        <v>2302</v>
      </c>
      <c r="B196" s="767" t="s">
        <v>974</v>
      </c>
      <c r="C196" s="771">
        <f>30+70</f>
        <v>100</v>
      </c>
      <c r="D196" s="771">
        <f>30+370</f>
        <v>400</v>
      </c>
      <c r="E196" s="794">
        <v>0</v>
      </c>
      <c r="G196" s="495"/>
      <c r="H196" s="495"/>
      <c r="I196" s="495"/>
      <c r="J196" s="495"/>
      <c r="K196" s="495"/>
      <c r="L196" s="495"/>
      <c r="M196" s="495"/>
    </row>
    <row r="197" spans="1:13" x14ac:dyDescent="0.2">
      <c r="A197" s="783">
        <v>2304</v>
      </c>
      <c r="B197" s="767" t="s">
        <v>990</v>
      </c>
      <c r="C197" s="771">
        <v>20</v>
      </c>
      <c r="D197" s="771">
        <f>17.45+20</f>
        <v>37.450000000000003</v>
      </c>
      <c r="E197" s="794">
        <v>17.450990000000001</v>
      </c>
      <c r="G197" s="495"/>
      <c r="H197" s="495"/>
      <c r="I197" s="495"/>
      <c r="J197" s="495"/>
      <c r="K197" s="495"/>
      <c r="L197" s="495"/>
      <c r="M197" s="495"/>
    </row>
    <row r="198" spans="1:13" x14ac:dyDescent="0.2">
      <c r="A198" s="783">
        <v>2304</v>
      </c>
      <c r="B198" s="767" t="s">
        <v>975</v>
      </c>
      <c r="C198" s="771">
        <v>0</v>
      </c>
      <c r="D198" s="771">
        <v>12.46</v>
      </c>
      <c r="E198" s="794">
        <v>12.45673</v>
      </c>
      <c r="G198" s="495"/>
      <c r="H198" s="495"/>
      <c r="I198" s="495"/>
      <c r="J198" s="495"/>
      <c r="K198" s="495"/>
      <c r="L198" s="495"/>
      <c r="M198" s="495"/>
    </row>
    <row r="199" spans="1:13" x14ac:dyDescent="0.2">
      <c r="A199" s="783">
        <v>2304</v>
      </c>
      <c r="B199" s="767" t="s">
        <v>976</v>
      </c>
      <c r="C199" s="771">
        <v>0</v>
      </c>
      <c r="D199" s="771">
        <v>10.94</v>
      </c>
      <c r="E199" s="794">
        <v>10.941090000000001</v>
      </c>
      <c r="G199" s="495"/>
      <c r="H199" s="495"/>
      <c r="I199" s="495"/>
      <c r="J199" s="495"/>
      <c r="K199" s="495"/>
      <c r="L199" s="495"/>
      <c r="M199" s="495"/>
    </row>
    <row r="200" spans="1:13" x14ac:dyDescent="0.2">
      <c r="A200" s="783">
        <v>2304</v>
      </c>
      <c r="B200" s="767" t="s">
        <v>977</v>
      </c>
      <c r="C200" s="771">
        <v>0</v>
      </c>
      <c r="D200" s="771">
        <v>5.95</v>
      </c>
      <c r="E200" s="794">
        <v>5.94834</v>
      </c>
      <c r="G200" s="495"/>
      <c r="H200" s="495"/>
      <c r="I200" s="495"/>
      <c r="J200" s="495"/>
      <c r="K200" s="495"/>
      <c r="L200" s="495"/>
      <c r="M200" s="495"/>
    </row>
    <row r="201" spans="1:13" x14ac:dyDescent="0.2">
      <c r="A201" s="783">
        <v>2304</v>
      </c>
      <c r="B201" s="767" t="s">
        <v>978</v>
      </c>
      <c r="C201" s="771">
        <v>0</v>
      </c>
      <c r="D201" s="771">
        <v>5.55</v>
      </c>
      <c r="E201" s="794">
        <v>5.5509899999999996</v>
      </c>
      <c r="G201" s="495"/>
      <c r="H201" s="495"/>
      <c r="I201" s="495"/>
      <c r="J201" s="495"/>
      <c r="K201" s="495"/>
      <c r="L201" s="495"/>
      <c r="M201" s="495"/>
    </row>
    <row r="202" spans="1:13" x14ac:dyDescent="0.2">
      <c r="A202" s="783">
        <v>2304</v>
      </c>
      <c r="B202" s="767" t="s">
        <v>979</v>
      </c>
      <c r="C202" s="771">
        <v>0</v>
      </c>
      <c r="D202" s="771">
        <v>48.13</v>
      </c>
      <c r="E202" s="794">
        <v>48.129919999999998</v>
      </c>
      <c r="G202" s="495"/>
      <c r="H202" s="495"/>
      <c r="I202" s="495"/>
      <c r="J202" s="495"/>
      <c r="K202" s="495"/>
      <c r="L202" s="495"/>
      <c r="M202" s="495"/>
    </row>
    <row r="203" spans="1:13" x14ac:dyDescent="0.2">
      <c r="A203" s="783">
        <v>2304</v>
      </c>
      <c r="B203" s="767" t="s">
        <v>980</v>
      </c>
      <c r="C203" s="771">
        <v>0</v>
      </c>
      <c r="D203" s="771">
        <v>28.64</v>
      </c>
      <c r="E203" s="794">
        <v>28.63747</v>
      </c>
      <c r="G203" s="495"/>
      <c r="H203" s="495"/>
      <c r="I203" s="495"/>
      <c r="J203" s="495"/>
      <c r="K203" s="495"/>
      <c r="L203" s="495"/>
      <c r="M203" s="495"/>
    </row>
    <row r="204" spans="1:13" x14ac:dyDescent="0.2">
      <c r="A204" s="783">
        <v>2306</v>
      </c>
      <c r="B204" s="767" t="s">
        <v>981</v>
      </c>
      <c r="C204" s="771">
        <v>0</v>
      </c>
      <c r="D204" s="771">
        <f>502+580</f>
        <v>1082</v>
      </c>
      <c r="E204" s="794">
        <f>500.37977+161.61002</f>
        <v>661.98978999999997</v>
      </c>
      <c r="G204" s="495"/>
      <c r="H204" s="495"/>
      <c r="I204" s="495"/>
      <c r="J204" s="495"/>
      <c r="K204" s="495"/>
      <c r="L204" s="495"/>
      <c r="M204" s="495"/>
    </row>
    <row r="205" spans="1:13" x14ac:dyDescent="0.2">
      <c r="A205" s="783">
        <v>2307</v>
      </c>
      <c r="B205" s="767" t="s">
        <v>982</v>
      </c>
      <c r="C205" s="771">
        <v>187.5</v>
      </c>
      <c r="D205" s="771">
        <v>481.88</v>
      </c>
      <c r="E205" s="794">
        <v>480.31173999999999</v>
      </c>
      <c r="G205" s="495"/>
      <c r="H205" s="495"/>
      <c r="I205" s="495"/>
      <c r="J205" s="495"/>
      <c r="K205" s="495"/>
      <c r="L205" s="495"/>
      <c r="M205" s="495"/>
    </row>
    <row r="206" spans="1:13" x14ac:dyDescent="0.2">
      <c r="A206" s="783">
        <v>2307</v>
      </c>
      <c r="B206" s="767" t="s">
        <v>983</v>
      </c>
      <c r="C206" s="771">
        <v>281.55</v>
      </c>
      <c r="D206" s="771">
        <v>81.55</v>
      </c>
      <c r="E206" s="794">
        <v>0</v>
      </c>
      <c r="G206" s="495"/>
      <c r="H206" s="495"/>
      <c r="I206" s="495"/>
      <c r="J206" s="495"/>
      <c r="K206" s="495"/>
      <c r="L206" s="495"/>
      <c r="M206" s="495"/>
    </row>
    <row r="207" spans="1:13" x14ac:dyDescent="0.2">
      <c r="A207" s="783">
        <v>2307</v>
      </c>
      <c r="B207" s="767" t="s">
        <v>984</v>
      </c>
      <c r="C207" s="771">
        <v>0</v>
      </c>
      <c r="D207" s="771">
        <v>1914.89</v>
      </c>
      <c r="E207" s="794">
        <v>1914.89374</v>
      </c>
      <c r="G207" s="495"/>
      <c r="H207" s="495"/>
      <c r="I207" s="495"/>
      <c r="J207" s="495"/>
      <c r="K207" s="495"/>
      <c r="L207" s="495"/>
      <c r="M207" s="495"/>
    </row>
    <row r="208" spans="1:13" ht="7.5" customHeight="1" x14ac:dyDescent="0.2">
      <c r="A208" s="783"/>
      <c r="B208" s="767"/>
      <c r="C208" s="771"/>
      <c r="D208" s="771"/>
      <c r="E208" s="771"/>
      <c r="G208" s="495"/>
      <c r="H208" s="495"/>
      <c r="I208" s="495"/>
      <c r="J208" s="495"/>
      <c r="K208" s="495"/>
      <c r="L208" s="495"/>
      <c r="M208" s="495"/>
    </row>
    <row r="209" spans="1:13" x14ac:dyDescent="0.2">
      <c r="A209" s="830" t="s">
        <v>854</v>
      </c>
      <c r="B209" s="831"/>
      <c r="C209" s="774">
        <f>SUM(C211:C212)</f>
        <v>0</v>
      </c>
      <c r="D209" s="774">
        <f>SUM(D211:D212)</f>
        <v>7867.94</v>
      </c>
      <c r="E209" s="774">
        <f>SUM(E211:E212)</f>
        <v>403.41399999999999</v>
      </c>
      <c r="G209" s="495"/>
      <c r="H209" s="495"/>
      <c r="I209" s="495"/>
      <c r="J209" s="495"/>
      <c r="K209" s="495"/>
      <c r="L209" s="495"/>
      <c r="M209" s="495"/>
    </row>
    <row r="210" spans="1:13" x14ac:dyDescent="0.2">
      <c r="A210" s="716" t="s">
        <v>75</v>
      </c>
      <c r="B210" s="600" t="s">
        <v>47</v>
      </c>
      <c r="C210" s="599"/>
      <c r="D210" s="599"/>
      <c r="E210" s="599"/>
      <c r="G210" s="495"/>
      <c r="H210" s="495"/>
      <c r="I210" s="495"/>
      <c r="J210" s="495"/>
      <c r="K210" s="495"/>
      <c r="L210" s="495"/>
      <c r="M210" s="495"/>
    </row>
    <row r="211" spans="1:13" x14ac:dyDescent="0.2">
      <c r="A211" s="719">
        <v>2302</v>
      </c>
      <c r="B211" s="718" t="s">
        <v>818</v>
      </c>
      <c r="C211" s="700">
        <v>0</v>
      </c>
      <c r="D211" s="700">
        <f>1000+6867.94</f>
        <v>7867.94</v>
      </c>
      <c r="E211" s="342">
        <f>72.6+330.814</f>
        <v>403.41399999999999</v>
      </c>
      <c r="G211" s="495"/>
      <c r="H211" s="495"/>
      <c r="I211" s="495"/>
      <c r="J211" s="495"/>
      <c r="K211" s="495"/>
      <c r="L211" s="495"/>
      <c r="M211" s="495"/>
    </row>
    <row r="212" spans="1:13" ht="7.5" customHeight="1" x14ac:dyDescent="0.2">
      <c r="A212" s="786"/>
      <c r="B212" s="772"/>
      <c r="C212" s="778"/>
      <c r="D212" s="778"/>
      <c r="E212" s="778"/>
      <c r="G212" s="495"/>
      <c r="H212" s="495"/>
      <c r="I212" s="495"/>
      <c r="J212" s="495"/>
      <c r="K212" s="495"/>
      <c r="L212" s="495"/>
      <c r="M212" s="495"/>
    </row>
    <row r="213" spans="1:13" x14ac:dyDescent="0.2">
      <c r="A213" s="789" t="s">
        <v>657</v>
      </c>
      <c r="B213" s="697"/>
      <c r="C213" s="599">
        <f>SUM(C215:C217)</f>
        <v>0</v>
      </c>
      <c r="D213" s="599">
        <f>SUM(D215:D217)</f>
        <v>8475.7999999999993</v>
      </c>
      <c r="E213" s="599">
        <f>SUM(E215:E217)</f>
        <v>3422.8714799999998</v>
      </c>
      <c r="G213" s="495"/>
      <c r="H213" s="495"/>
      <c r="I213" s="495"/>
      <c r="J213" s="495"/>
      <c r="K213" s="495"/>
      <c r="L213" s="495"/>
      <c r="M213" s="495"/>
    </row>
    <row r="214" spans="1:13" x14ac:dyDescent="0.2">
      <c r="A214" s="716" t="s">
        <v>75</v>
      </c>
      <c r="B214" s="600" t="s">
        <v>47</v>
      </c>
      <c r="C214" s="599"/>
      <c r="D214" s="599"/>
      <c r="E214" s="599"/>
      <c r="G214" s="495"/>
      <c r="H214" s="495"/>
      <c r="I214" s="495"/>
      <c r="J214" s="495"/>
      <c r="K214" s="495"/>
      <c r="L214" s="495"/>
      <c r="M214" s="495"/>
    </row>
    <row r="215" spans="1:13" x14ac:dyDescent="0.2">
      <c r="A215" s="719">
        <v>2305</v>
      </c>
      <c r="B215" s="767" t="s">
        <v>1035</v>
      </c>
      <c r="C215" s="771">
        <v>0</v>
      </c>
      <c r="D215" s="771">
        <v>2972.37</v>
      </c>
      <c r="E215" s="794">
        <v>386.59280000000001</v>
      </c>
      <c r="G215" s="495"/>
      <c r="H215" s="495"/>
      <c r="I215" s="495"/>
      <c r="J215" s="495"/>
      <c r="K215" s="495"/>
      <c r="L215" s="495"/>
      <c r="M215" s="495"/>
    </row>
    <row r="216" spans="1:13" x14ac:dyDescent="0.2">
      <c r="A216" s="719">
        <v>2305</v>
      </c>
      <c r="B216" s="767" t="s">
        <v>913</v>
      </c>
      <c r="C216" s="771">
        <v>0</v>
      </c>
      <c r="D216" s="771">
        <v>5503.43</v>
      </c>
      <c r="E216" s="794">
        <v>3036.2786799999999</v>
      </c>
      <c r="G216" s="495"/>
      <c r="H216" s="495"/>
      <c r="I216" s="495"/>
      <c r="J216" s="495"/>
      <c r="K216" s="495"/>
      <c r="L216" s="495"/>
      <c r="M216" s="495"/>
    </row>
    <row r="217" spans="1:13" ht="7.5" customHeight="1" x14ac:dyDescent="0.2">
      <c r="A217" s="719"/>
      <c r="B217" s="718"/>
      <c r="C217" s="700"/>
      <c r="D217" s="700"/>
      <c r="E217" s="700"/>
      <c r="G217" s="495"/>
      <c r="H217" s="495"/>
      <c r="I217" s="495"/>
      <c r="J217" s="495"/>
      <c r="K217" s="495"/>
      <c r="L217" s="495"/>
      <c r="M217" s="495"/>
    </row>
    <row r="218" spans="1:13" x14ac:dyDescent="0.2">
      <c r="A218" s="1917" t="s">
        <v>443</v>
      </c>
      <c r="B218" s="1918"/>
      <c r="C218" s="599">
        <f>SUM(C220:C221)</f>
        <v>644.33000000000004</v>
      </c>
      <c r="D218" s="599">
        <f t="shared" ref="D218:E218" si="2">SUM(D220:D221)</f>
        <v>2629.11</v>
      </c>
      <c r="E218" s="599">
        <f t="shared" si="2"/>
        <v>1423.7887000000001</v>
      </c>
      <c r="G218" s="495"/>
      <c r="H218" s="495"/>
      <c r="I218" s="495"/>
      <c r="J218" s="495"/>
      <c r="K218" s="495"/>
      <c r="L218" s="495"/>
      <c r="M218" s="495"/>
    </row>
    <row r="219" spans="1:13" x14ac:dyDescent="0.2">
      <c r="A219" s="716" t="s">
        <v>75</v>
      </c>
      <c r="B219" s="600" t="s">
        <v>47</v>
      </c>
      <c r="C219" s="599"/>
      <c r="D219" s="599"/>
      <c r="E219" s="599"/>
      <c r="G219" s="495"/>
      <c r="H219" s="495"/>
      <c r="I219" s="495"/>
      <c r="J219" s="495"/>
      <c r="K219" s="495"/>
      <c r="L219" s="495"/>
      <c r="M219" s="495"/>
    </row>
    <row r="220" spans="1:13" x14ac:dyDescent="0.2">
      <c r="A220" s="783">
        <v>2302</v>
      </c>
      <c r="B220" s="767" t="s">
        <v>971</v>
      </c>
      <c r="C220" s="771">
        <v>644.33000000000004</v>
      </c>
      <c r="D220" s="771">
        <v>1672.71</v>
      </c>
      <c r="E220" s="794">
        <v>1047.6542400000001</v>
      </c>
      <c r="F220" s="795"/>
      <c r="G220" s="495"/>
      <c r="H220" s="495"/>
      <c r="I220" s="495"/>
      <c r="J220" s="495"/>
      <c r="K220" s="495"/>
      <c r="L220" s="495"/>
      <c r="M220" s="495"/>
    </row>
    <row r="221" spans="1:13" x14ac:dyDescent="0.2">
      <c r="A221" s="783">
        <v>2302</v>
      </c>
      <c r="B221" s="767" t="s">
        <v>972</v>
      </c>
      <c r="C221" s="771">
        <v>0</v>
      </c>
      <c r="D221" s="771">
        <v>956.4</v>
      </c>
      <c r="E221" s="794">
        <v>376.13446000000005</v>
      </c>
      <c r="F221" s="795"/>
      <c r="G221" s="495"/>
      <c r="H221" s="495"/>
      <c r="I221" s="495"/>
      <c r="J221" s="495"/>
      <c r="K221" s="495"/>
      <c r="L221" s="495"/>
      <c r="M221" s="495"/>
    </row>
    <row r="222" spans="1:13" ht="7.5" customHeight="1" x14ac:dyDescent="0.2">
      <c r="A222" s="719"/>
      <c r="B222" s="718"/>
      <c r="C222" s="700"/>
      <c r="D222" s="700"/>
      <c r="E222" s="700"/>
      <c r="G222" s="495"/>
      <c r="H222" s="495"/>
      <c r="I222" s="495"/>
      <c r="J222" s="495"/>
      <c r="K222" s="495"/>
      <c r="L222" s="495"/>
      <c r="M222" s="495"/>
    </row>
    <row r="223" spans="1:13" x14ac:dyDescent="0.2">
      <c r="A223" s="1917" t="s">
        <v>439</v>
      </c>
      <c r="B223" s="1918"/>
      <c r="C223" s="599">
        <f>SUM(C225)</f>
        <v>0</v>
      </c>
      <c r="D223" s="599">
        <f>SUM(D225)</f>
        <v>450</v>
      </c>
      <c r="E223" s="599">
        <f>SUM(E225)</f>
        <v>288.27616999999998</v>
      </c>
      <c r="G223" s="495"/>
      <c r="H223" s="495"/>
      <c r="I223" s="495"/>
      <c r="J223" s="495"/>
      <c r="K223" s="495"/>
      <c r="L223" s="495"/>
      <c r="M223" s="495"/>
    </row>
    <row r="224" spans="1:13" x14ac:dyDescent="0.2">
      <c r="A224" s="716" t="s">
        <v>75</v>
      </c>
      <c r="B224" s="600" t="s">
        <v>47</v>
      </c>
      <c r="C224" s="599"/>
      <c r="D224" s="599"/>
      <c r="E224" s="599"/>
      <c r="G224" s="495"/>
      <c r="H224" s="495"/>
      <c r="I224" s="495"/>
      <c r="J224" s="495"/>
      <c r="K224" s="495"/>
      <c r="L224" s="495"/>
      <c r="M224" s="495"/>
    </row>
    <row r="225" spans="1:13" ht="22.5" x14ac:dyDescent="0.2">
      <c r="A225" s="719">
        <v>2321</v>
      </c>
      <c r="B225" s="718" t="s">
        <v>440</v>
      </c>
      <c r="C225" s="700">
        <v>0</v>
      </c>
      <c r="D225" s="700">
        <v>450</v>
      </c>
      <c r="E225" s="342">
        <v>288.27616999999998</v>
      </c>
      <c r="G225" s="495"/>
      <c r="H225" s="495"/>
      <c r="I225" s="495"/>
      <c r="J225" s="495"/>
      <c r="K225" s="495"/>
      <c r="L225" s="495"/>
      <c r="M225" s="495"/>
    </row>
    <row r="226" spans="1:13" ht="7.5" customHeight="1" x14ac:dyDescent="0.2">
      <c r="A226" s="719"/>
      <c r="B226" s="718"/>
      <c r="C226" s="700"/>
      <c r="D226" s="700"/>
      <c r="E226" s="700"/>
      <c r="G226" s="495"/>
      <c r="H226" s="495"/>
      <c r="I226" s="495"/>
      <c r="J226" s="495"/>
      <c r="K226" s="495"/>
      <c r="L226" s="495"/>
      <c r="M226" s="495"/>
    </row>
    <row r="227" spans="1:13" x14ac:dyDescent="0.2">
      <c r="A227" s="782" t="s">
        <v>737</v>
      </c>
      <c r="B227" s="697"/>
      <c r="C227" s="599">
        <f>SUM(C229:C230)</f>
        <v>0</v>
      </c>
      <c r="D227" s="599">
        <f>SUM(D229:D230)</f>
        <v>8700.07</v>
      </c>
      <c r="E227" s="599">
        <f>SUM(E229:E230)</f>
        <v>8700.0107200000002</v>
      </c>
      <c r="G227" s="495"/>
      <c r="H227" s="495"/>
      <c r="I227" s="495"/>
      <c r="J227" s="495"/>
      <c r="K227" s="495"/>
      <c r="L227" s="495"/>
      <c r="M227" s="495"/>
    </row>
    <row r="228" spans="1:13" x14ac:dyDescent="0.2">
      <c r="A228" s="716" t="s">
        <v>75</v>
      </c>
      <c r="B228" s="600" t="s">
        <v>47</v>
      </c>
      <c r="C228" s="599"/>
      <c r="D228" s="599"/>
      <c r="E228" s="599"/>
      <c r="G228" s="495"/>
      <c r="H228" s="495"/>
      <c r="I228" s="495"/>
      <c r="J228" s="495"/>
      <c r="K228" s="495"/>
      <c r="L228" s="495"/>
      <c r="M228" s="495"/>
    </row>
    <row r="229" spans="1:13" x14ac:dyDescent="0.2">
      <c r="A229" s="787">
        <v>2304</v>
      </c>
      <c r="B229" s="718" t="s">
        <v>985</v>
      </c>
      <c r="C229" s="770">
        <v>0</v>
      </c>
      <c r="D229" s="771">
        <v>6000.71</v>
      </c>
      <c r="E229" s="794">
        <v>6000.7111500000001</v>
      </c>
      <c r="G229" s="495"/>
      <c r="H229" s="495"/>
      <c r="I229" s="495"/>
      <c r="J229" s="495"/>
      <c r="K229" s="495"/>
      <c r="L229" s="495"/>
      <c r="M229" s="495"/>
    </row>
    <row r="230" spans="1:13" x14ac:dyDescent="0.2">
      <c r="A230" s="787">
        <v>2304</v>
      </c>
      <c r="B230" s="779" t="s">
        <v>989</v>
      </c>
      <c r="C230" s="770">
        <v>0</v>
      </c>
      <c r="D230" s="771">
        <v>2699.3600000000006</v>
      </c>
      <c r="E230" s="794">
        <v>2699.2995700000006</v>
      </c>
      <c r="G230" s="495"/>
      <c r="H230" s="495"/>
      <c r="I230" s="495"/>
      <c r="J230" s="495"/>
      <c r="K230" s="495"/>
      <c r="L230" s="495"/>
      <c r="M230" s="495"/>
    </row>
    <row r="231" spans="1:13" ht="7.5" customHeight="1" x14ac:dyDescent="0.2">
      <c r="A231" s="787"/>
      <c r="B231" s="718"/>
      <c r="C231" s="722"/>
      <c r="D231" s="722"/>
      <c r="E231" s="722"/>
      <c r="G231" s="495"/>
      <c r="H231" s="495"/>
      <c r="I231" s="495"/>
      <c r="J231" s="495"/>
      <c r="K231" s="495"/>
      <c r="L231" s="495"/>
      <c r="M231" s="495"/>
    </row>
    <row r="232" spans="1:13" x14ac:dyDescent="0.2">
      <c r="A232" s="832"/>
      <c r="B232" s="833"/>
      <c r="C232" s="834"/>
      <c r="D232" s="834"/>
      <c r="E232" s="834"/>
      <c r="G232" s="495"/>
      <c r="H232" s="495"/>
      <c r="I232" s="495"/>
      <c r="J232" s="495"/>
      <c r="K232" s="495"/>
      <c r="L232" s="495"/>
      <c r="M232" s="495"/>
    </row>
    <row r="233" spans="1:13" ht="44.25" customHeight="1" x14ac:dyDescent="0.2">
      <c r="A233" s="832"/>
      <c r="B233" s="833"/>
      <c r="C233" s="834"/>
      <c r="D233" s="834"/>
      <c r="E233" s="834"/>
      <c r="G233" s="495"/>
      <c r="H233" s="495"/>
      <c r="I233" s="495"/>
      <c r="J233" s="495"/>
      <c r="K233" s="495"/>
      <c r="L233" s="495"/>
      <c r="M233" s="495"/>
    </row>
    <row r="234" spans="1:13" s="341" customFormat="1" x14ac:dyDescent="0.2">
      <c r="A234" s="78"/>
      <c r="B234" s="593"/>
      <c r="C234" s="79"/>
      <c r="D234" s="79"/>
      <c r="E234" s="83" t="s">
        <v>797</v>
      </c>
      <c r="F234" s="798"/>
      <c r="G234" s="503"/>
      <c r="H234" s="503"/>
      <c r="I234" s="503"/>
      <c r="J234" s="503"/>
      <c r="K234" s="503"/>
      <c r="L234" s="503"/>
      <c r="M234" s="503"/>
    </row>
    <row r="235" spans="1:13" s="341" customFormat="1" ht="31.5" customHeight="1" x14ac:dyDescent="0.2">
      <c r="A235" s="1913" t="s">
        <v>735</v>
      </c>
      <c r="B235" s="1913"/>
      <c r="C235" s="1914"/>
      <c r="D235" s="1914"/>
      <c r="E235" s="1914"/>
      <c r="F235" s="798"/>
      <c r="G235" s="503"/>
      <c r="H235" s="503"/>
      <c r="I235" s="503"/>
      <c r="J235" s="503"/>
      <c r="K235" s="503"/>
      <c r="L235" s="503"/>
      <c r="M235" s="503"/>
    </row>
    <row r="236" spans="1:13" s="341" customFormat="1" ht="15" x14ac:dyDescent="0.2">
      <c r="A236" s="713"/>
      <c r="B236" s="714"/>
      <c r="C236" s="595"/>
      <c r="D236" s="595"/>
      <c r="E236" s="595"/>
      <c r="F236" s="798"/>
      <c r="G236" s="503"/>
      <c r="H236" s="503"/>
      <c r="I236" s="503"/>
      <c r="J236" s="503"/>
      <c r="K236" s="503"/>
      <c r="L236" s="503"/>
      <c r="M236" s="503"/>
    </row>
    <row r="237" spans="1:13" s="341" customFormat="1" ht="15.75" x14ac:dyDescent="0.2">
      <c r="A237" s="1915" t="s">
        <v>84</v>
      </c>
      <c r="B237" s="1915"/>
      <c r="C237" s="1916"/>
      <c r="D237" s="1916"/>
      <c r="E237" s="1916"/>
      <c r="F237" s="798"/>
      <c r="G237" s="503"/>
      <c r="H237" s="503"/>
      <c r="I237" s="503"/>
      <c r="J237" s="503"/>
      <c r="K237" s="503"/>
      <c r="L237" s="503"/>
      <c r="M237" s="503"/>
    </row>
    <row r="238" spans="1:13" s="341" customFormat="1" ht="15" x14ac:dyDescent="0.2">
      <c r="A238" s="713"/>
      <c r="B238" s="715"/>
      <c r="C238" s="595"/>
      <c r="D238" s="595"/>
      <c r="E238" s="608" t="s">
        <v>83</v>
      </c>
      <c r="F238" s="798"/>
      <c r="G238" s="503"/>
      <c r="H238" s="503"/>
      <c r="I238" s="503"/>
      <c r="J238" s="503"/>
      <c r="K238" s="503"/>
      <c r="L238" s="503"/>
      <c r="M238" s="503"/>
    </row>
    <row r="239" spans="1:13" s="341" customFormat="1" ht="24" x14ac:dyDescent="0.2">
      <c r="A239" s="597" t="s">
        <v>27</v>
      </c>
      <c r="B239" s="598" t="s">
        <v>0</v>
      </c>
      <c r="C239" s="606" t="s">
        <v>986</v>
      </c>
      <c r="D239" s="606" t="s">
        <v>987</v>
      </c>
      <c r="E239" s="606" t="s">
        <v>988</v>
      </c>
      <c r="F239" s="798"/>
      <c r="G239" s="503"/>
      <c r="H239" s="503"/>
      <c r="I239" s="503"/>
      <c r="J239" s="503"/>
      <c r="K239" s="503"/>
      <c r="L239" s="503"/>
      <c r="M239" s="503"/>
    </row>
    <row r="240" spans="1:13" x14ac:dyDescent="0.2">
      <c r="A240" s="1910" t="s">
        <v>819</v>
      </c>
      <c r="B240" s="1911"/>
      <c r="C240" s="599">
        <f>SUM(C242:C244)</f>
        <v>2135.8200000000002</v>
      </c>
      <c r="D240" s="599">
        <f>SUM(D242:D244)</f>
        <v>5135.82</v>
      </c>
      <c r="E240" s="599">
        <f>SUM(E242:E244)</f>
        <v>2135.8200000000002</v>
      </c>
      <c r="G240" s="495"/>
      <c r="H240" s="495"/>
      <c r="I240" s="495"/>
      <c r="J240" s="495"/>
      <c r="K240" s="495"/>
      <c r="L240" s="495"/>
      <c r="M240" s="495"/>
    </row>
    <row r="241" spans="1:15" x14ac:dyDescent="0.2">
      <c r="A241" s="716" t="s">
        <v>75</v>
      </c>
      <c r="B241" s="600" t="s">
        <v>47</v>
      </c>
      <c r="C241" s="599"/>
      <c r="D241" s="599"/>
      <c r="E241" s="599"/>
      <c r="G241" s="495"/>
      <c r="H241" s="495"/>
      <c r="I241" s="495"/>
      <c r="J241" s="495"/>
      <c r="K241" s="495"/>
      <c r="L241" s="495"/>
      <c r="M241" s="495"/>
    </row>
    <row r="242" spans="1:15" ht="22.5" x14ac:dyDescent="0.2">
      <c r="A242" s="719">
        <v>2321</v>
      </c>
      <c r="B242" s="718" t="s">
        <v>440</v>
      </c>
      <c r="C242" s="720">
        <v>0</v>
      </c>
      <c r="D242" s="720">
        <v>3000</v>
      </c>
      <c r="E242" s="124">
        <v>0</v>
      </c>
      <c r="G242" s="495"/>
      <c r="H242" s="495"/>
      <c r="I242" s="495"/>
      <c r="J242" s="495"/>
      <c r="K242" s="495"/>
      <c r="L242" s="495"/>
      <c r="M242" s="495"/>
    </row>
    <row r="243" spans="1:15" ht="22.5" x14ac:dyDescent="0.2">
      <c r="A243" s="788">
        <v>2307</v>
      </c>
      <c r="B243" s="721" t="s">
        <v>820</v>
      </c>
      <c r="C243" s="700">
        <v>2135.8200000000002</v>
      </c>
      <c r="D243" s="700">
        <v>2135.8200000000002</v>
      </c>
      <c r="E243" s="342">
        <v>2135.8200000000002</v>
      </c>
      <c r="G243" s="775"/>
      <c r="H243" s="775"/>
      <c r="I243" s="804"/>
      <c r="J243" s="804"/>
      <c r="K243" s="804"/>
      <c r="L243" s="503"/>
      <c r="M243" s="503"/>
      <c r="N243" s="341"/>
      <c r="O243" s="341"/>
    </row>
    <row r="244" spans="1:15" ht="7.5" customHeight="1" x14ac:dyDescent="0.2">
      <c r="A244" s="719"/>
      <c r="B244" s="721"/>
      <c r="C244" s="700"/>
      <c r="D244" s="700"/>
      <c r="E244" s="700"/>
      <c r="G244" s="503"/>
      <c r="H244" s="503"/>
      <c r="I244" s="503"/>
      <c r="J244" s="503"/>
      <c r="K244" s="503"/>
      <c r="L244" s="503"/>
      <c r="M244" s="503"/>
      <c r="N244" s="341"/>
      <c r="O244" s="341"/>
    </row>
    <row r="245" spans="1:15" x14ac:dyDescent="0.2">
      <c r="A245" s="1910" t="s">
        <v>1037</v>
      </c>
      <c r="B245" s="1911"/>
      <c r="C245" s="599">
        <f>SUM(C247:C259)</f>
        <v>305</v>
      </c>
      <c r="D245" s="599">
        <f>SUM(D247:D259)</f>
        <v>302908.95999999996</v>
      </c>
      <c r="E245" s="599">
        <f>SUM(E247:E259)</f>
        <v>2448.4033800000002</v>
      </c>
      <c r="G245" s="495"/>
      <c r="H245" s="495"/>
      <c r="I245" s="495"/>
      <c r="J245" s="495"/>
      <c r="K245" s="495"/>
      <c r="L245" s="495"/>
      <c r="M245" s="495"/>
    </row>
    <row r="246" spans="1:15" x14ac:dyDescent="0.2">
      <c r="A246" s="716" t="s">
        <v>75</v>
      </c>
      <c r="B246" s="600" t="s">
        <v>47</v>
      </c>
      <c r="C246" s="599"/>
      <c r="D246" s="599"/>
      <c r="E246" s="599"/>
      <c r="G246" s="495"/>
      <c r="H246" s="495"/>
      <c r="I246" s="495"/>
      <c r="J246" s="495"/>
      <c r="K246" s="495"/>
      <c r="L246" s="495"/>
      <c r="M246" s="495"/>
    </row>
    <row r="247" spans="1:15" x14ac:dyDescent="0.2">
      <c r="A247" s="781">
        <v>2302</v>
      </c>
      <c r="B247" s="718" t="s">
        <v>678</v>
      </c>
      <c r="C247" s="603">
        <v>300</v>
      </c>
      <c r="D247" s="603">
        <v>300</v>
      </c>
      <c r="E247" s="601">
        <v>0</v>
      </c>
      <c r="G247" s="495"/>
      <c r="H247" s="495"/>
      <c r="I247" s="495"/>
      <c r="J247" s="495"/>
      <c r="K247" s="495"/>
      <c r="L247" s="495"/>
      <c r="M247" s="495"/>
    </row>
    <row r="248" spans="1:15" x14ac:dyDescent="0.2">
      <c r="A248" s="719">
        <v>2302</v>
      </c>
      <c r="B248" s="718" t="s">
        <v>991</v>
      </c>
      <c r="C248" s="700">
        <v>0</v>
      </c>
      <c r="D248" s="700">
        <v>590.54</v>
      </c>
      <c r="E248" s="342">
        <v>0</v>
      </c>
      <c r="G248" s="495"/>
      <c r="H248" s="495"/>
      <c r="I248" s="495"/>
      <c r="J248" s="495"/>
      <c r="K248" s="495"/>
      <c r="L248" s="495"/>
      <c r="M248" s="495"/>
    </row>
    <row r="249" spans="1:15" x14ac:dyDescent="0.2">
      <c r="A249" s="719">
        <v>2302</v>
      </c>
      <c r="B249" s="718" t="s">
        <v>992</v>
      </c>
      <c r="C249" s="700">
        <v>0</v>
      </c>
      <c r="D249" s="700">
        <v>830</v>
      </c>
      <c r="E249" s="342">
        <v>0</v>
      </c>
      <c r="G249" s="495"/>
      <c r="H249" s="495"/>
      <c r="I249" s="495"/>
      <c r="J249" s="495"/>
      <c r="K249" s="495"/>
      <c r="L249" s="495"/>
      <c r="M249" s="495"/>
    </row>
    <row r="250" spans="1:15" x14ac:dyDescent="0.2">
      <c r="A250" s="719">
        <v>2302</v>
      </c>
      <c r="B250" s="718" t="s">
        <v>993</v>
      </c>
      <c r="C250" s="700">
        <v>0</v>
      </c>
      <c r="D250" s="700">
        <v>50</v>
      </c>
      <c r="E250" s="342">
        <v>0</v>
      </c>
      <c r="G250" s="495"/>
      <c r="H250" s="495"/>
      <c r="I250" s="495"/>
      <c r="J250" s="495"/>
      <c r="K250" s="495"/>
      <c r="L250" s="495"/>
      <c r="M250" s="495"/>
    </row>
    <row r="251" spans="1:15" x14ac:dyDescent="0.2">
      <c r="A251" s="719">
        <v>2302</v>
      </c>
      <c r="B251" s="718" t="s">
        <v>997</v>
      </c>
      <c r="C251" s="700">
        <v>0</v>
      </c>
      <c r="D251" s="700">
        <v>400</v>
      </c>
      <c r="E251" s="342">
        <v>117.97499999999999</v>
      </c>
      <c r="G251" s="495"/>
      <c r="H251" s="495"/>
      <c r="I251" s="495"/>
      <c r="J251" s="495"/>
      <c r="K251" s="495"/>
      <c r="L251" s="495"/>
      <c r="M251" s="495"/>
    </row>
    <row r="252" spans="1:15" x14ac:dyDescent="0.2">
      <c r="A252" s="719">
        <v>2303</v>
      </c>
      <c r="B252" s="718" t="s">
        <v>441</v>
      </c>
      <c r="C252" s="700">
        <v>0</v>
      </c>
      <c r="D252" s="700">
        <v>281237.42</v>
      </c>
      <c r="E252" s="342">
        <v>0</v>
      </c>
      <c r="F252" s="495"/>
      <c r="G252" s="495"/>
      <c r="H252" s="495"/>
      <c r="I252" s="495"/>
      <c r="J252" s="495"/>
      <c r="K252" s="495"/>
      <c r="L252" s="495"/>
      <c r="M252" s="495"/>
    </row>
    <row r="253" spans="1:15" x14ac:dyDescent="0.2">
      <c r="A253" s="719">
        <v>2303</v>
      </c>
      <c r="B253" s="718" t="s">
        <v>149</v>
      </c>
      <c r="C253" s="700">
        <v>0</v>
      </c>
      <c r="D253" s="700">
        <v>5000</v>
      </c>
      <c r="E253" s="342">
        <v>2294.7333800000001</v>
      </c>
      <c r="G253" s="495"/>
      <c r="H253" s="495"/>
      <c r="I253" s="495"/>
      <c r="J253" s="495"/>
      <c r="K253" s="495"/>
      <c r="L253" s="495"/>
      <c r="M253" s="495"/>
    </row>
    <row r="254" spans="1:15" x14ac:dyDescent="0.2">
      <c r="A254" s="781">
        <v>2314</v>
      </c>
      <c r="B254" s="717" t="s">
        <v>1013</v>
      </c>
      <c r="C254" s="720">
        <v>0</v>
      </c>
      <c r="D254" s="604">
        <v>8450</v>
      </c>
      <c r="E254" s="809">
        <v>0</v>
      </c>
      <c r="F254" s="799"/>
      <c r="G254" s="495"/>
      <c r="H254" s="495"/>
      <c r="I254" s="495"/>
      <c r="J254" s="495"/>
      <c r="K254" s="495"/>
      <c r="L254" s="495"/>
      <c r="M254" s="495"/>
    </row>
    <row r="255" spans="1:15" x14ac:dyDescent="0.2">
      <c r="A255" s="781">
        <v>2314</v>
      </c>
      <c r="B255" s="717" t="s">
        <v>1031</v>
      </c>
      <c r="C255" s="720">
        <v>0</v>
      </c>
      <c r="D255" s="604">
        <v>1000</v>
      </c>
      <c r="E255" s="809">
        <v>0</v>
      </c>
      <c r="F255" s="799"/>
      <c r="G255" s="495"/>
      <c r="H255" s="495"/>
      <c r="I255" s="495"/>
      <c r="J255" s="495"/>
      <c r="K255" s="495"/>
      <c r="L255" s="495"/>
      <c r="M255" s="495"/>
    </row>
    <row r="256" spans="1:15" x14ac:dyDescent="0.2">
      <c r="A256" s="781">
        <v>2314</v>
      </c>
      <c r="B256" s="717" t="s">
        <v>1024</v>
      </c>
      <c r="C256" s="720">
        <v>5</v>
      </c>
      <c r="D256" s="604">
        <v>5</v>
      </c>
      <c r="E256" s="809">
        <v>0</v>
      </c>
      <c r="F256" s="799"/>
      <c r="G256" s="495"/>
      <c r="H256" s="495"/>
      <c r="I256" s="495"/>
      <c r="J256" s="495"/>
      <c r="K256" s="495"/>
      <c r="L256" s="495"/>
      <c r="M256" s="495"/>
    </row>
    <row r="257" spans="1:13" x14ac:dyDescent="0.2">
      <c r="A257" s="781">
        <v>2314</v>
      </c>
      <c r="B257" s="717" t="s">
        <v>1025</v>
      </c>
      <c r="C257" s="720">
        <v>0</v>
      </c>
      <c r="D257" s="604">
        <v>5010</v>
      </c>
      <c r="E257" s="809">
        <v>0</v>
      </c>
      <c r="F257" s="799"/>
      <c r="G257" s="495"/>
      <c r="H257" s="495"/>
      <c r="I257" s="495"/>
      <c r="J257" s="495"/>
      <c r="K257" s="495"/>
      <c r="L257" s="495"/>
      <c r="M257" s="495"/>
    </row>
    <row r="258" spans="1:13" x14ac:dyDescent="0.2">
      <c r="A258" s="781">
        <v>2314</v>
      </c>
      <c r="B258" s="717" t="s">
        <v>1029</v>
      </c>
      <c r="C258" s="720">
        <v>0</v>
      </c>
      <c r="D258" s="604">
        <v>36</v>
      </c>
      <c r="E258" s="809">
        <v>35.695</v>
      </c>
      <c r="F258" s="799"/>
      <c r="G258" s="495"/>
      <c r="H258" s="495"/>
      <c r="I258" s="495"/>
      <c r="J258" s="495"/>
      <c r="K258" s="495"/>
      <c r="L258" s="495"/>
      <c r="M258" s="495"/>
    </row>
    <row r="259" spans="1:13" ht="7.5" customHeight="1" x14ac:dyDescent="0.2">
      <c r="A259" s="781"/>
      <c r="B259" s="717"/>
      <c r="C259" s="720"/>
      <c r="D259" s="604"/>
      <c r="E259" s="604"/>
      <c r="F259" s="799"/>
      <c r="G259" s="495"/>
      <c r="H259" s="495"/>
      <c r="I259" s="495"/>
      <c r="J259" s="495"/>
      <c r="K259" s="495"/>
      <c r="L259" s="495"/>
      <c r="M259" s="495"/>
    </row>
    <row r="260" spans="1:13" x14ac:dyDescent="0.2">
      <c r="C260" s="791"/>
      <c r="F260" s="799"/>
      <c r="G260" s="495"/>
      <c r="H260" s="495"/>
      <c r="I260" s="495"/>
      <c r="J260" s="495"/>
      <c r="K260" s="495"/>
      <c r="L260" s="495"/>
      <c r="M260" s="495"/>
    </row>
    <row r="261" spans="1:13" x14ac:dyDescent="0.2">
      <c r="C261" s="791"/>
      <c r="F261" s="799"/>
    </row>
  </sheetData>
  <mergeCells count="18">
    <mergeCell ref="A2:E2"/>
    <mergeCell ref="A4:E4"/>
    <mergeCell ref="A62:E62"/>
    <mergeCell ref="A235:E235"/>
    <mergeCell ref="A237:E237"/>
    <mergeCell ref="A75:B75"/>
    <mergeCell ref="A245:B245"/>
    <mergeCell ref="A240:B240"/>
    <mergeCell ref="A7:B7"/>
    <mergeCell ref="A60:E60"/>
    <mergeCell ref="A117:E117"/>
    <mergeCell ref="A119:E119"/>
    <mergeCell ref="A122:B122"/>
    <mergeCell ref="A218:B218"/>
    <mergeCell ref="A223:B223"/>
    <mergeCell ref="A176:E176"/>
    <mergeCell ref="A178:E178"/>
    <mergeCell ref="A181:B181"/>
  </mergeCell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F18"/>
  <sheetViews>
    <sheetView zoomScaleNormal="100" workbookViewId="0">
      <selection activeCell="K14" sqref="K14"/>
    </sheetView>
  </sheetViews>
  <sheetFormatPr defaultRowHeight="12" x14ac:dyDescent="0.2"/>
  <cols>
    <col min="1" max="1" width="59.140625" style="68" customWidth="1"/>
    <col min="2" max="2" width="11" style="68" customWidth="1"/>
    <col min="3" max="4" width="10.7109375" style="68" customWidth="1"/>
    <col min="5" max="5" width="9.42578125" style="68" customWidth="1"/>
    <col min="6" max="6" width="13.85546875" style="68" customWidth="1"/>
    <col min="7" max="7" width="11.28515625" style="68" bestFit="1" customWidth="1"/>
    <col min="8" max="8" width="9.140625" style="68"/>
    <col min="9" max="9" width="10" style="68" bestFit="1" customWidth="1"/>
    <col min="10" max="16384" width="9.140625" style="68"/>
  </cols>
  <sheetData>
    <row r="1" spans="1:6" ht="12.75" x14ac:dyDescent="0.2">
      <c r="D1" s="325" t="s">
        <v>798</v>
      </c>
      <c r="F1" s="328"/>
    </row>
    <row r="3" spans="1:6" ht="34.5" customHeight="1" x14ac:dyDescent="0.2">
      <c r="A3" s="1924" t="s">
        <v>1042</v>
      </c>
      <c r="B3" s="1924"/>
      <c r="C3" s="1924"/>
      <c r="D3" s="1924"/>
    </row>
    <row r="4" spans="1:6" x14ac:dyDescent="0.2">
      <c r="B4" s="526"/>
      <c r="C4" s="526"/>
      <c r="D4" s="526"/>
    </row>
    <row r="5" spans="1:6" ht="15.75" x14ac:dyDescent="0.2">
      <c r="A5" s="1924" t="s">
        <v>82</v>
      </c>
      <c r="B5" s="1924"/>
      <c r="C5" s="1924"/>
      <c r="D5" s="1924"/>
    </row>
    <row r="6" spans="1:6" x14ac:dyDescent="0.2">
      <c r="C6" s="709"/>
      <c r="D6" s="710" t="s">
        <v>83</v>
      </c>
    </row>
    <row r="7" spans="1:6" x14ac:dyDescent="0.2">
      <c r="A7" s="711" t="s">
        <v>354</v>
      </c>
      <c r="B7" s="527" t="s">
        <v>1038</v>
      </c>
      <c r="C7" s="527" t="s">
        <v>1039</v>
      </c>
      <c r="D7" s="527" t="s">
        <v>85</v>
      </c>
    </row>
    <row r="8" spans="1:6" ht="24" x14ac:dyDescent="0.2">
      <c r="A8" s="712" t="s">
        <v>681</v>
      </c>
      <c r="B8" s="530">
        <v>5000</v>
      </c>
      <c r="C8" s="530">
        <v>5000</v>
      </c>
      <c r="D8" s="530">
        <v>1532.9290900000001</v>
      </c>
    </row>
    <row r="9" spans="1:6" ht="24" x14ac:dyDescent="0.2">
      <c r="A9" s="712" t="s">
        <v>682</v>
      </c>
      <c r="B9" s="530">
        <v>800</v>
      </c>
      <c r="C9" s="530">
        <v>800</v>
      </c>
      <c r="D9" s="530">
        <v>87.073070000000001</v>
      </c>
    </row>
    <row r="10" spans="1:6" ht="15.75" customHeight="1" x14ac:dyDescent="0.2">
      <c r="A10" s="531" t="s">
        <v>237</v>
      </c>
      <c r="B10" s="532">
        <f>SUM(B8:B9)</f>
        <v>5800</v>
      </c>
      <c r="C10" s="532">
        <f>SUM(C8:C9)</f>
        <v>5800</v>
      </c>
      <c r="D10" s="532">
        <f>SUM(D8:D9)</f>
        <v>1620.00216</v>
      </c>
    </row>
    <row r="11" spans="1:6" x14ac:dyDescent="0.2">
      <c r="A11" s="528"/>
      <c r="B11" s="529"/>
      <c r="C11" s="529"/>
      <c r="D11" s="528"/>
    </row>
    <row r="12" spans="1:6" ht="34.5" customHeight="1" x14ac:dyDescent="0.2">
      <c r="A12" s="1925" t="s">
        <v>1040</v>
      </c>
      <c r="B12" s="1925"/>
      <c r="C12" s="1925"/>
      <c r="D12" s="1925"/>
    </row>
    <row r="13" spans="1:6" ht="34.5" customHeight="1" x14ac:dyDescent="0.2">
      <c r="A13" s="1925" t="s">
        <v>1041</v>
      </c>
      <c r="B13" s="1925"/>
      <c r="C13" s="1925"/>
      <c r="D13" s="1925"/>
    </row>
    <row r="18" spans="5:5" x14ac:dyDescent="0.2">
      <c r="E18" s="69"/>
    </row>
  </sheetData>
  <mergeCells count="4">
    <mergeCell ref="A5:D5"/>
    <mergeCell ref="A12:D12"/>
    <mergeCell ref="A13:D13"/>
    <mergeCell ref="A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11</vt:i4>
      </vt:variant>
    </vt:vector>
  </HeadingPairs>
  <TitlesOfParts>
    <vt:vector size="34" baseType="lpstr">
      <vt:lpstr>ZÚK_2021-Seznam příloh</vt:lpstr>
      <vt:lpstr>1-ZÚK_2021</vt:lpstr>
      <vt:lpstr>2-ZÚK_2021</vt:lpstr>
      <vt:lpstr>3-ZÚK_2021</vt:lpstr>
      <vt:lpstr>4-ZÚK_2021</vt:lpstr>
      <vt:lpstr>5-ZÚK_2021</vt:lpstr>
      <vt:lpstr>6-ZÚK_2021</vt:lpstr>
      <vt:lpstr>7-ZÚK_2021</vt:lpstr>
      <vt:lpstr>8-ZÚK_2021</vt:lpstr>
      <vt:lpstr>9-ZÚK_2021</vt:lpstr>
      <vt:lpstr>10-ZÚK_2021</vt:lpstr>
      <vt:lpstr>11-ZÚK_2021</vt:lpstr>
      <vt:lpstr>12-ZÚK_2021</vt:lpstr>
      <vt:lpstr>13-ZÚK_2021</vt:lpstr>
      <vt:lpstr>14-ZÚK_2021</vt:lpstr>
      <vt:lpstr>15-ZÚK_2021</vt:lpstr>
      <vt:lpstr>16-ZÚK_2021</vt:lpstr>
      <vt:lpstr>17-ZÚK_2021</vt:lpstr>
      <vt:lpstr>18-ZÚK_2021</vt:lpstr>
      <vt:lpstr>19-ZÚK_2021</vt:lpstr>
      <vt:lpstr>20-ZÚK_2021</vt:lpstr>
      <vt:lpstr>21-ZÚK_2021</vt:lpstr>
      <vt:lpstr>22-ZÚK_2021</vt:lpstr>
      <vt:lpstr>'17-ZÚK_2021'!Oblast_tisku</vt:lpstr>
      <vt:lpstr>'18-ZÚK_2021'!Oblast_tisku</vt:lpstr>
      <vt:lpstr>'1-ZÚK_2021'!Oblast_tisku</vt:lpstr>
      <vt:lpstr>'20-ZÚK_2021'!Oblast_tisku</vt:lpstr>
      <vt:lpstr>'21-ZÚK_2021'!Oblast_tisku</vt:lpstr>
      <vt:lpstr>'22-ZÚK_2021'!Oblast_tisku</vt:lpstr>
      <vt:lpstr>'2-ZÚK_2021'!Oblast_tisku</vt:lpstr>
      <vt:lpstr>'3-ZÚK_2021'!Oblast_tisku</vt:lpstr>
      <vt:lpstr>'4-ZÚK_2021'!Oblast_tisku</vt:lpstr>
      <vt:lpstr>'5-ZÚK_2021'!Oblast_tisku</vt:lpstr>
      <vt:lpstr>'7-ZÚK_2021'!Oblast_tisku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Fantová Lucie</cp:lastModifiedBy>
  <cp:lastPrinted>2022-05-27T07:44:47Z</cp:lastPrinted>
  <dcterms:created xsi:type="dcterms:W3CDTF">2011-05-10T08:34:07Z</dcterms:created>
  <dcterms:modified xsi:type="dcterms:W3CDTF">2022-05-27T08:47:03Z</dcterms:modified>
</cp:coreProperties>
</file>